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LICITAÇÕES\2025\CONCORRÊNCIA\Concorrência 05 - Coleta seletiva de Resíduos Domiciliares - 2° certame\"/>
    </mc:Choice>
  </mc:AlternateContent>
  <xr:revisionPtr revIDLastSave="0" documentId="8_{63627EE9-DFC1-49E6-9C66-8045A094032A}" xr6:coauthVersionLast="45" xr6:coauthVersionMax="45" xr10:uidLastSave="{00000000-0000-0000-0000-000000000000}"/>
  <bookViews>
    <workbookView xWindow="-120" yWindow="-120" windowWidth="24240" windowHeight="13020" xr2:uid="{00000000-000D-0000-FFFF-FFFF00000000}"/>
  </bookViews>
  <sheets>
    <sheet name="Planilha de Custos" sheetId="1" r:id="rId1"/>
    <sheet name="Encargos Sociais" sheetId="4" r:id="rId2"/>
    <sheet name="BDI" sheetId="5" r:id="rId3"/>
    <sheet name="CAGED" sheetId="6" r:id="rId4"/>
    <sheet name="DEPRECIACAO" sheetId="7" r:id="rId5"/>
    <sheet name="REMUNERACAO CAPITAL" sheetId="8" r:id="rId6"/>
    <sheet name="DIMENSIONAMENTO" sheetId="9" r:id="rId7"/>
  </sheets>
  <externalReferences>
    <externalReference r:id="rId8"/>
    <externalReference r:id="rId9"/>
  </externalReferences>
  <definedNames>
    <definedName name="_xlnm.Print_Area" localSheetId="0">'Planilha de Custos'!$A$5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6" i="1" l="1"/>
  <c r="E174" i="1"/>
  <c r="E166" i="1"/>
  <c r="E149" i="1"/>
  <c r="E23" i="1"/>
  <c r="C154" i="1"/>
  <c r="E113" i="1"/>
  <c r="E70" i="1"/>
  <c r="E55" i="1"/>
  <c r="C54" i="1"/>
  <c r="C6" i="9"/>
  <c r="C7" i="9"/>
  <c r="E126" i="1"/>
  <c r="C14" i="9" l="1"/>
  <c r="C10" i="9"/>
  <c r="C21" i="6"/>
  <c r="C23" i="6" s="1"/>
  <c r="C19" i="6"/>
  <c r="C14" i="5"/>
  <c r="C252" i="1" s="1"/>
  <c r="F7" i="5"/>
  <c r="E7" i="5"/>
  <c r="D7" i="5"/>
  <c r="C30" i="4"/>
  <c r="C24" i="4"/>
  <c r="C27" i="4" s="1"/>
  <c r="C15" i="4"/>
  <c r="C20" i="4" s="1"/>
  <c r="C29" i="4" s="1"/>
  <c r="C31" i="4" s="1"/>
  <c r="C32" i="4" s="1"/>
  <c r="C12" i="4"/>
  <c r="C15" i="9" l="1"/>
  <c r="C17" i="9" s="1"/>
  <c r="C29" i="6"/>
  <c r="C24" i="6"/>
  <c r="C22" i="6"/>
  <c r="C52" i="1" l="1"/>
  <c r="E48" i="1"/>
  <c r="E47" i="1"/>
  <c r="D49" i="1" s="1"/>
  <c r="E49" i="1" s="1"/>
  <c r="E46" i="1"/>
  <c r="D50" i="1" l="1"/>
  <c r="E50" i="1" s="1"/>
  <c r="E51" i="1" s="1"/>
  <c r="D52" i="1" l="1"/>
  <c r="E52" i="1" s="1"/>
  <c r="E53" i="1" s="1"/>
  <c r="D54" i="1" s="1"/>
  <c r="E54" i="1" s="1"/>
  <c r="F55" i="1" s="1"/>
  <c r="E244" i="1" l="1"/>
  <c r="F245" i="1" s="1"/>
  <c r="F247" i="1" s="1"/>
  <c r="E24" i="1" s="1"/>
  <c r="E235" i="1"/>
  <c r="C233" i="1"/>
  <c r="E233" i="1" s="1"/>
  <c r="E225" i="1"/>
  <c r="E224" i="1"/>
  <c r="E223" i="1"/>
  <c r="E216" i="1"/>
  <c r="E215" i="1"/>
  <c r="E214" i="1"/>
  <c r="C205" i="1"/>
  <c r="C203" i="1"/>
  <c r="E203" i="1" s="1"/>
  <c r="E201" i="1"/>
  <c r="D190" i="1"/>
  <c r="D188" i="1"/>
  <c r="D186" i="1"/>
  <c r="D184" i="1"/>
  <c r="D182" i="1"/>
  <c r="C182" i="1"/>
  <c r="C196" i="1" s="1"/>
  <c r="E196" i="1" s="1"/>
  <c r="F197" i="1" s="1"/>
  <c r="E19" i="1" s="1"/>
  <c r="C172" i="1"/>
  <c r="E172" i="1" s="1"/>
  <c r="C171" i="1"/>
  <c r="E171" i="1" s="1"/>
  <c r="C170" i="1"/>
  <c r="C165" i="1"/>
  <c r="C159" i="1"/>
  <c r="D158" i="1"/>
  <c r="D153" i="1"/>
  <c r="E153" i="1" s="1"/>
  <c r="C145" i="1"/>
  <c r="C144" i="1"/>
  <c r="D146" i="1" s="1"/>
  <c r="C141" i="1"/>
  <c r="C158" i="1" s="1"/>
  <c r="E158" i="1" s="1"/>
  <c r="C140" i="1"/>
  <c r="C139" i="1"/>
  <c r="E136" i="1"/>
  <c r="D139" i="1" s="1"/>
  <c r="C125" i="1"/>
  <c r="E124" i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C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F90" i="1"/>
  <c r="E89" i="1"/>
  <c r="C89" i="1"/>
  <c r="C84" i="1"/>
  <c r="E84" i="1" s="1"/>
  <c r="A84" i="1"/>
  <c r="A89" i="1" s="1"/>
  <c r="C83" i="1"/>
  <c r="E83" i="1" s="1"/>
  <c r="A83" i="1"/>
  <c r="C78" i="1"/>
  <c r="C77" i="1"/>
  <c r="C67" i="1"/>
  <c r="D65" i="1"/>
  <c r="E65" i="1" s="1"/>
  <c r="D62" i="1"/>
  <c r="E62" i="1" s="1"/>
  <c r="D61" i="1"/>
  <c r="E61" i="1" s="1"/>
  <c r="E59" i="1"/>
  <c r="D78" i="1" s="1"/>
  <c r="D77" i="1"/>
  <c r="A36" i="1"/>
  <c r="E33" i="1"/>
  <c r="A32" i="1"/>
  <c r="A31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F235" i="1" l="1"/>
  <c r="F237" i="1" s="1"/>
  <c r="C184" i="1"/>
  <c r="E184" i="1" s="1"/>
  <c r="D63" i="1"/>
  <c r="E63" i="1" s="1"/>
  <c r="E66" i="1" s="1"/>
  <c r="D67" i="1" s="1"/>
  <c r="E67" i="1" s="1"/>
  <c r="E68" i="1" s="1"/>
  <c r="D69" i="1" s="1"/>
  <c r="E69" i="1" s="1"/>
  <c r="F70" i="1" s="1"/>
  <c r="F217" i="1"/>
  <c r="F219" i="1" s="1"/>
  <c r="E21" i="1" s="1"/>
  <c r="D204" i="1"/>
  <c r="E204" i="1" s="1"/>
  <c r="D205" i="1" s="1"/>
  <c r="D112" i="1"/>
  <c r="E112" i="1" s="1"/>
  <c r="F113" i="1" s="1"/>
  <c r="D191" i="1"/>
  <c r="D125" i="1"/>
  <c r="E125" i="1" s="1"/>
  <c r="F126" i="1" s="1"/>
  <c r="E141" i="1"/>
  <c r="D144" i="1" s="1"/>
  <c r="E144" i="1" s="1"/>
  <c r="D145" i="1" s="1"/>
  <c r="E145" i="1" s="1"/>
  <c r="E182" i="1"/>
  <c r="F226" i="1"/>
  <c r="F228" i="1" s="1"/>
  <c r="C186" i="1"/>
  <c r="E186" i="1" s="1"/>
  <c r="E205" i="1"/>
  <c r="F206" i="1" s="1"/>
  <c r="E20" i="1" s="1"/>
  <c r="E78" i="1"/>
  <c r="E77" i="1"/>
  <c r="F85" i="1"/>
  <c r="E10" i="1" s="1"/>
  <c r="E139" i="1"/>
  <c r="D140" i="1" s="1"/>
  <c r="E140" i="1" s="1"/>
  <c r="E11" i="1"/>
  <c r="C155" i="1"/>
  <c r="C160" i="1"/>
  <c r="D170" i="1"/>
  <c r="E170" i="1" s="1"/>
  <c r="D173" i="1" s="1"/>
  <c r="E173" i="1" s="1"/>
  <c r="F174" i="1" s="1"/>
  <c r="E17" i="1" s="1"/>
  <c r="C190" i="1"/>
  <c r="E190" i="1" s="1"/>
  <c r="C188" i="1"/>
  <c r="E188" i="1" s="1"/>
  <c r="F128" i="1" l="1"/>
  <c r="E12" i="1" s="1"/>
  <c r="E22" i="1"/>
  <c r="F192" i="1"/>
  <c r="E18" i="1" s="1"/>
  <c r="F79" i="1"/>
  <c r="E9" i="1" s="1"/>
  <c r="C156" i="1"/>
  <c r="D157" i="1" s="1"/>
  <c r="E157" i="1" s="1"/>
  <c r="C161" i="1"/>
  <c r="D162" i="1" s="1"/>
  <c r="E162" i="1" s="1"/>
  <c r="E8" i="1"/>
  <c r="E147" i="1"/>
  <c r="D148" i="1" s="1"/>
  <c r="E148" i="1" s="1"/>
  <c r="F149" i="1" s="1"/>
  <c r="E146" i="1"/>
  <c r="E163" i="1" l="1"/>
  <c r="E164" i="1"/>
  <c r="D165" i="1" s="1"/>
  <c r="E165" i="1" s="1"/>
  <c r="F166" i="1" s="1"/>
  <c r="E7" i="1"/>
  <c r="F92" i="1"/>
  <c r="E15" i="1"/>
  <c r="E6" i="1" l="1"/>
  <c r="E16" i="1"/>
  <c r="E14" i="1" s="1"/>
  <c r="F209" i="1"/>
  <c r="F239" i="1" s="1"/>
  <c r="E13" i="1" l="1"/>
  <c r="D252" i="1"/>
  <c r="E252" i="1" l="1"/>
  <c r="F253" i="1" s="1"/>
  <c r="F255" i="1" s="1"/>
  <c r="F258" i="1" s="1"/>
  <c r="E25" i="1" l="1"/>
  <c r="E26" i="1" s="1"/>
  <c r="F19" i="1" s="1"/>
  <c r="F21" i="1" l="1"/>
  <c r="F9" i="1"/>
  <c r="F14" i="1"/>
  <c r="F16" i="1"/>
  <c r="F6" i="1"/>
  <c r="F18" i="1"/>
  <c r="F12" i="1"/>
  <c r="F24" i="1"/>
  <c r="F15" i="1"/>
  <c r="F23" i="1"/>
  <c r="F13" i="1"/>
  <c r="F17" i="1"/>
  <c r="F10" i="1"/>
  <c r="F20" i="1"/>
  <c r="F11" i="1"/>
  <c r="F25" i="1"/>
  <c r="F7" i="1"/>
  <c r="F22" i="1"/>
  <c r="F8" i="1"/>
  <c r="F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6" authorId="0" shapeId="0" xr:uid="{00000000-0006-0000-0000-000003000000}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47" authorId="0" shapeId="0" xr:uid="{00000000-0006-0000-0000-000004000000}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8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49" authorId="0" shapeId="0" xr:uid="{00000000-0006-0000-0000-000006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54" authorId="0" shapeId="0" xr:uid="{00000000-0006-0000-0000-000008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59" authorId="0" shapeId="0" xr:uid="{00000000-0006-0000-0000-000009000000}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60" authorId="0" shapeId="0" xr:uid="{00000000-0006-0000-0000-00000A000000}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61" authorId="0" shapeId="0" xr:uid="{00000000-0006-0000-0000-00000B000000}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62" authorId="0" shapeId="0" xr:uid="{00000000-0006-0000-0000-00000C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63" authorId="0" shapeId="0" xr:uid="{00000000-0006-0000-0000-00000D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65" authorId="0" shapeId="0" xr:uid="{00000000-0006-0000-0000-00000F000000}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67" authorId="0" shapeId="0" xr:uid="{00000000-0006-0000-0000-000010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69" authorId="0" shapeId="0" xr:uid="{00000000-0006-0000-0000-000011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75" authorId="0" shapeId="0" xr:uid="{00000000-0006-0000-0000-000012000000}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76" authorId="0" shapeId="0" xr:uid="{00000000-0006-0000-0000-000013000000}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77" authorId="0" shapeId="0" xr:uid="{00000000-0006-0000-0000-000014000000}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78" authorId="0" shapeId="0" xr:uid="{00000000-0006-0000-0000-000015000000}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83" authorId="0" shapeId="0" xr:uid="{00000000-0006-0000-0000-000016000000}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84" authorId="0" shapeId="0" xr:uid="{00000000-0006-0000-0000-000017000000}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89" authorId="0" shapeId="0" xr:uid="{00000000-0006-0000-0000-000018000000}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99" authorId="0" shapeId="0" xr:uid="{00000000-0006-0000-0000-000019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99" authorId="0" shapeId="0" xr:uid="{00000000-0006-0000-0000-00001A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00" authorId="0" shapeId="0" xr:uid="{00000000-0006-0000-0000-00001B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0" authorId="0" shapeId="0" xr:uid="{00000000-0006-0000-0000-00001C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02" authorId="0" shapeId="0" xr:uid="{00000000-0006-0000-0000-00001D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2" authorId="0" shapeId="0" xr:uid="{00000000-0006-0000-0000-00001E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04" authorId="0" shapeId="0" xr:uid="{00000000-0006-0000-0000-00001F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4" authorId="0" shapeId="0" xr:uid="{00000000-0006-0000-0000-000020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05" authorId="0" shapeId="0" xr:uid="{00000000-0006-0000-0000-000021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5" authorId="0" shapeId="0" xr:uid="{00000000-0006-0000-0000-000022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06" authorId="0" shapeId="0" xr:uid="{00000000-0006-0000-0000-000023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6" authorId="0" shapeId="0" xr:uid="{00000000-0006-0000-0000-000024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07" authorId="0" shapeId="0" xr:uid="{00000000-0006-0000-0000-000025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7" authorId="0" shapeId="0" xr:uid="{00000000-0006-0000-0000-000026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08" authorId="0" shapeId="0" xr:uid="{00000000-0006-0000-0000-000027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8" authorId="0" shapeId="0" xr:uid="{00000000-0006-0000-0000-000028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09" authorId="0" shapeId="0" xr:uid="{00000000-0006-0000-0000-000029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9" authorId="0" shapeId="0" xr:uid="{00000000-0006-0000-0000-00002A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0" authorId="0" shapeId="0" xr:uid="{00000000-0006-0000-0000-00002B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0" authorId="0" shapeId="0" xr:uid="{00000000-0006-0000-0000-00002C000000}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11" authorId="0" shapeId="0" xr:uid="{00000000-0006-0000-0000-00002D000000}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118" authorId="0" shapeId="0" xr:uid="{00000000-0006-0000-0000-00002E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19" authorId="0" shapeId="0" xr:uid="{00000000-0006-0000-0000-00002F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20" authorId="0" shapeId="0" xr:uid="{00000000-0006-0000-0000-000030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21" authorId="0" shapeId="0" xr:uid="{00000000-0006-0000-0000-000031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22" authorId="0" shapeId="0" xr:uid="{00000000-0006-0000-0000-000032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23" authorId="0" shapeId="0" xr:uid="{00000000-0006-0000-0000-000033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4" authorId="0" shapeId="0" xr:uid="{00000000-0006-0000-0000-000034000000}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36" authorId="0" shapeId="0" xr:uid="{00000000-0006-0000-0000-000035000000}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37" authorId="0" shapeId="0" xr:uid="{00000000-0006-0000-0000-000036000000}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38" authorId="0" shapeId="0" xr:uid="{00000000-0006-0000-0000-000037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39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1" authorId="0" shapeId="0" xr:uid="{00000000-0006-0000-0000-000039000000}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42" authorId="0" shapeId="0" xr:uid="{00000000-0006-0000-0000-00003A000000}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43" authorId="0" shapeId="0" xr:uid="{00000000-0006-0000-0000-00003B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44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8" authorId="0" shapeId="0" xr:uid="{00000000-0006-0000-0000-00003D000000}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154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1" authorId="0" shapeId="0" xr:uid="{00000000-0006-0000-0000-00003F000000}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172" authorId="0" shapeId="0" xr:uid="{00000000-0006-0000-0000-000040000000}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178" authorId="0" shapeId="0" xr:uid="{00000000-0006-0000-0000-000041000000}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181" authorId="0" shapeId="0" xr:uid="{00000000-0006-0000-0000-000042000000}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181" authorId="0" shapeId="0" xr:uid="{00000000-0006-0000-0000-000043000000}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183" authorId="0" shapeId="0" xr:uid="{00000000-0006-0000-0000-000044000000}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183" authorId="0" shapeId="0" xr:uid="{00000000-0006-0000-0000-000045000000}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185" authorId="0" shapeId="0" xr:uid="{00000000-0006-0000-0000-000046000000}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185" authorId="0" shapeId="0" xr:uid="{00000000-0006-0000-0000-000047000000}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187" authorId="0" shapeId="0" xr:uid="{00000000-0006-0000-0000-000048000000}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187" authorId="0" shapeId="0" xr:uid="{00000000-0006-0000-0000-000049000000}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189" authorId="0" shapeId="0" xr:uid="{00000000-0006-0000-0000-00004A000000}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189" authorId="0" shapeId="0" xr:uid="{00000000-0006-0000-0000-00004B000000}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196" authorId="0" shapeId="0" xr:uid="{00000000-0006-0000-0000-00004C000000}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01" authorId="0" shapeId="0" xr:uid="{00000000-0006-0000-0000-00004D000000}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01" authorId="0" shapeId="0" xr:uid="{00000000-0006-0000-0000-00004E000000}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02" authorId="0" shapeId="0" xr:uid="{00000000-0006-0000-0000-00004F000000}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03" authorId="0" shapeId="0" xr:uid="{00000000-0006-0000-0000-000050000000}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04" authorId="0" shapeId="0" xr:uid="{00000000-0006-0000-0000-000051000000}">
      <text>
        <r>
          <rPr>
            <sz val="9"/>
            <color indexed="81"/>
            <rFont val="Tahoma"/>
            <family val="2"/>
          </rPr>
          <t xml:space="preserve">Informar a durabilidade média dos pneus considerando todas as recapagens, em km
</t>
        </r>
      </text>
    </comment>
    <comment ref="C214" authorId="0" shapeId="0" xr:uid="{00000000-0006-0000-0000-000052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14" authorId="0" shapeId="0" xr:uid="{00000000-0006-0000-0000-000053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15" authorId="0" shapeId="0" xr:uid="{00000000-0006-0000-0000-000054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15" authorId="0" shapeId="0" xr:uid="{00000000-0006-0000-0000-000055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16" authorId="0" shapeId="0" xr:uid="{00000000-0006-0000-0000-000056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16" authorId="0" shapeId="0" xr:uid="{00000000-0006-0000-0000-000057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21" authorId="0" shapeId="0" xr:uid="{00000000-0006-0000-0000-000058000000}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4" authorId="0" shapeId="0" xr:uid="{00000000-0006-0000-0000-000059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24" authorId="0" shapeId="0" xr:uid="{00000000-0006-0000-0000-00005A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25" authorId="0" shapeId="0" xr:uid="{00000000-0006-0000-0000-00005B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25" authorId="0" shapeId="0" xr:uid="{00000000-0006-0000-0000-00005C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30" authorId="0" shapeId="0" xr:uid="{00000000-0006-0000-0000-00005D000000}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3" authorId="0" shapeId="0" xr:uid="{00000000-0006-0000-0000-00005E000000}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A241" authorId="0" shapeId="0" xr:uid="{00000000-0006-0000-0000-00005F000000}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2" authorId="0" shapeId="0" xr:uid="{00000000-0006-0000-0000-000060000000}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C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Informar o % de Seguros, Riscos e Garantia estimado: alterado para o 2º quartil (Rev. 01)
</t>
        </r>
      </text>
    </comment>
    <comment ref="C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Informar o % de Lucro estimado: alterado para 3º quartil (Rev.01)</t>
        </r>
      </text>
    </comment>
    <comment ref="E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Taxa SELIC: ajustado julho de 2025 (Rev. 01)
</t>
        </r>
      </text>
    </comment>
    <comment ref="C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cbridi</author>
    <author>Clauber Bridi</author>
    <author>Omar</author>
  </authors>
  <commentList>
    <comment ref="C5" authorId="0" shapeId="0" xr:uid="{00000000-0006-0000-0600-000001000000}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6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7" authorId="2" shapeId="0" xr:uid="{00000000-0006-0000-0600-000003000000}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9" authorId="0" shapeId="0" xr:uid="{00000000-0006-0000-0600-000004000000}">
      <text>
        <r>
          <rPr>
            <b/>
            <sz val="8"/>
            <color indexed="81"/>
            <rFont val="Tahoma"/>
            <charset val="1"/>
          </rPr>
          <t>Informe o número de dias de coleta por semana</t>
        </r>
      </text>
    </comment>
    <comment ref="C12" authorId="0" shapeId="0" xr:uid="{00000000-0006-0000-0600-000005000000}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13" authorId="0" shapeId="0" xr:uid="{00000000-0006-0000-0600-000006000000}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16" authorId="1" shapeId="0" xr:uid="{00000000-0006-0000-0600-000007000000}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<sst xmlns="http://schemas.openxmlformats.org/spreadsheetml/2006/main" count="519" uniqueCount="301">
  <si>
    <t>Orçamento Sintético</t>
  </si>
  <si>
    <t>Descrição do Item</t>
  </si>
  <si>
    <t>Custo (R$/mês)</t>
  </si>
  <si>
    <t>%</t>
  </si>
  <si>
    <t>PREÇO TOTAL MENSAL COM A COLETA</t>
  </si>
  <si>
    <t>Quantitativos</t>
  </si>
  <si>
    <t>Mão-de-obra</t>
  </si>
  <si>
    <t>Quantidade</t>
  </si>
  <si>
    <t>Total de mão-de-obra (postos de trabalho)</t>
  </si>
  <si>
    <t>Veículos e Equipamentos</t>
  </si>
  <si>
    <t>Fator de utilização (FU)</t>
  </si>
  <si>
    <t>1. Mão-de-obra</t>
  </si>
  <si>
    <t>1.1. Coletor Turno Dia</t>
  </si>
  <si>
    <t>Discriminação</t>
  </si>
  <si>
    <t>Unidade</t>
  </si>
  <si>
    <t>Custo unitário</t>
  </si>
  <si>
    <t>Subtotal</t>
  </si>
  <si>
    <r>
      <t xml:space="preserve">Total </t>
    </r>
    <r>
      <rPr>
        <b/>
        <u/>
        <sz val="11"/>
        <rFont val="Arial"/>
        <family val="2"/>
      </rPr>
      <t>(R$)</t>
    </r>
  </si>
  <si>
    <t>Piso da categoria</t>
  </si>
  <si>
    <t>mês</t>
  </si>
  <si>
    <t>Horas Extras (100%)</t>
  </si>
  <si>
    <t>hora</t>
  </si>
  <si>
    <t>Horas Extras (50%)</t>
  </si>
  <si>
    <t>Descanso Semanal Remunerado (DSR) - hora extra</t>
  </si>
  <si>
    <t>R$</t>
  </si>
  <si>
    <t>Adicional de Insalubridade</t>
  </si>
  <si>
    <t>Soma</t>
  </si>
  <si>
    <t>Encargos Sociais</t>
  </si>
  <si>
    <t>Total por Coletor</t>
  </si>
  <si>
    <t>Total do Efetivo</t>
  </si>
  <si>
    <t>homem</t>
  </si>
  <si>
    <t>Fator de utilização</t>
  </si>
  <si>
    <t>1.2. Motorista Turno do Dia</t>
  </si>
  <si>
    <t>Piso da categoria (2)</t>
  </si>
  <si>
    <t>Salário mínimo nacional (1)</t>
  </si>
  <si>
    <t>Base de cálculo da Insalubridade</t>
  </si>
  <si>
    <t>Total por Motorista</t>
  </si>
  <si>
    <t>1.3. Vale Transporte</t>
  </si>
  <si>
    <t>Vale Transporte</t>
  </si>
  <si>
    <t>Dias Trabalhados por mês</t>
  </si>
  <si>
    <t>dia</t>
  </si>
  <si>
    <t>Coletor</t>
  </si>
  <si>
    <t>vale</t>
  </si>
  <si>
    <t>Motorista</t>
  </si>
  <si>
    <t>1.4. Vale-refeição (diário)</t>
  </si>
  <si>
    <t>unidade</t>
  </si>
  <si>
    <t>1.5. Auxílio Alimentação (mensal)</t>
  </si>
  <si>
    <t>Custo Mensal com Mão-de-obra (R$/mês)</t>
  </si>
  <si>
    <t>2. Uniformes e Equipamentos de Proteção Individual</t>
  </si>
  <si>
    <t>2.1. Uniformes e EPIs para Coletor</t>
  </si>
  <si>
    <t>Durabilidade (meses)</t>
  </si>
  <si>
    <t>Jaqueta com reflexivo (NBR 15.292)</t>
  </si>
  <si>
    <t>Calça</t>
  </si>
  <si>
    <t>Bermuda com refletivo</t>
  </si>
  <si>
    <t xml:space="preserve">Camiseta manga curta </t>
  </si>
  <si>
    <t xml:space="preserve">Camiseta manga longa </t>
  </si>
  <si>
    <t>Boné Arabe</t>
  </si>
  <si>
    <t>Botina de segurança c/ palmilha aço</t>
  </si>
  <si>
    <t>par</t>
  </si>
  <si>
    <t>Meia de algodão com cano alto</t>
  </si>
  <si>
    <t>Capa de chuva amarela com reflexivo</t>
  </si>
  <si>
    <t>Colete reflexivo</t>
  </si>
  <si>
    <t>Luva de proteção</t>
  </si>
  <si>
    <t>Protetor solar FPS 30</t>
  </si>
  <si>
    <t>frasco 120g</t>
  </si>
  <si>
    <t>Higienização de uniformes e EPIs</t>
  </si>
  <si>
    <t>R$ mensal</t>
  </si>
  <si>
    <t>2.2. Uniformes e EPIs para demais categorias</t>
  </si>
  <si>
    <t>Camiseta</t>
  </si>
  <si>
    <t>Custo Mensal com Uniformes e EPIs (R$/mês)</t>
  </si>
  <si>
    <t>3. Veículos e Equipamentos</t>
  </si>
  <si>
    <r>
      <t>3.1. Veículo Coletor Compactador</t>
    </r>
    <r>
      <rPr>
        <sz val="11"/>
        <color indexed="10"/>
        <rFont val="Arial"/>
        <family val="2"/>
      </rPr>
      <t xml:space="preserve"> xx</t>
    </r>
    <r>
      <rPr>
        <sz val="11"/>
        <rFont val="Arial"/>
        <family val="2"/>
      </rPr>
      <t xml:space="preserve"> m³</t>
    </r>
  </si>
  <si>
    <t>3.1.1. Depreciação</t>
  </si>
  <si>
    <t>Custo de aquisição do chassis</t>
  </si>
  <si>
    <t>Vida útil do chassis</t>
  </si>
  <si>
    <t>anos</t>
  </si>
  <si>
    <t>Idade do veículo</t>
  </si>
  <si>
    <t>Depreciação do chassis</t>
  </si>
  <si>
    <t>Depreciação mensal veículos coletores</t>
  </si>
  <si>
    <t>Custo de aquisição do compactador</t>
  </si>
  <si>
    <t>Vida útil do compactador</t>
  </si>
  <si>
    <t>Idade do compactador</t>
  </si>
  <si>
    <t>Depreciação do compactador</t>
  </si>
  <si>
    <t>Depreciação mensal do compactador</t>
  </si>
  <si>
    <t>Frota Reserva 10%</t>
  </si>
  <si>
    <t>Total por veículo</t>
  </si>
  <si>
    <t>Total da frota</t>
  </si>
  <si>
    <t>3.1.2. Remuneração do Capital</t>
  </si>
  <si>
    <t>Custo do chassis</t>
  </si>
  <si>
    <t>Taxa de juros anual nominal</t>
  </si>
  <si>
    <t>Valor do veículo proposto (V0)</t>
  </si>
  <si>
    <t>Investimento médio total do chassis</t>
  </si>
  <si>
    <t>Remuneração mensal de capital do chassis</t>
  </si>
  <si>
    <t>Custo do compactador</t>
  </si>
  <si>
    <t>Valor do compactador proposto (V0)</t>
  </si>
  <si>
    <t>Investimento médio total do compactador</t>
  </si>
  <si>
    <t>Remuneração mensal de capital do compactador</t>
  </si>
  <si>
    <t>-</t>
  </si>
  <si>
    <t>3.1.3. Impostos e Seguros</t>
  </si>
  <si>
    <t>IPVA</t>
  </si>
  <si>
    <t>Licenciamento e Seguro obrigatório</t>
  </si>
  <si>
    <t>Seguro contra terceiros</t>
  </si>
  <si>
    <t>Impostos e seguros mensais</t>
  </si>
  <si>
    <t>3.1.4. Consumos</t>
  </si>
  <si>
    <t>Quilometragem mensal</t>
  </si>
  <si>
    <t>Consumo</t>
  </si>
  <si>
    <t>Custo de óleo diesel / km rodado</t>
  </si>
  <si>
    <t>km/l</t>
  </si>
  <si>
    <t>Custo mensal com óleo diesel</t>
  </si>
  <si>
    <t>km</t>
  </si>
  <si>
    <t>Custo de óleo do motor /1.000 km rodados</t>
  </si>
  <si>
    <t>l/1.000 km</t>
  </si>
  <si>
    <t>Custo mensal com óleo do motor</t>
  </si>
  <si>
    <t>Custo de óleo da transmissão /1.000 km</t>
  </si>
  <si>
    <t>Custo mensal com óleo da transmissão</t>
  </si>
  <si>
    <t>Custo de óleo hidráulico / 1.000 km</t>
  </si>
  <si>
    <t>Custo mensal com óleo hidráulico</t>
  </si>
  <si>
    <t>Custo de graxa /1.000 km rodados</t>
  </si>
  <si>
    <t>kg/1.000 km</t>
  </si>
  <si>
    <t>Custo mensal com graxa</t>
  </si>
  <si>
    <t>Custo com consumos/km rodado</t>
  </si>
  <si>
    <t>R$/km rodado</t>
  </si>
  <si>
    <t>3.1.5. Manutenção</t>
  </si>
  <si>
    <t>Custo de manutenção dos caminhões</t>
  </si>
  <si>
    <t>3.1.6. Pneus</t>
  </si>
  <si>
    <t>Custo do jogo de pneus xxx/xx Rxx</t>
  </si>
  <si>
    <t>Número de recapagens por pneu</t>
  </si>
  <si>
    <t>Custo de recapagem</t>
  </si>
  <si>
    <r>
      <t xml:space="preserve">Custo jg. compl. + </t>
    </r>
    <r>
      <rPr>
        <sz val="11"/>
        <color indexed="10"/>
        <rFont val="Arial"/>
        <family val="2"/>
      </rPr>
      <t>X</t>
    </r>
    <r>
      <rPr>
        <sz val="11"/>
        <rFont val="Arial"/>
        <family val="2"/>
      </rPr>
      <t xml:space="preserve"> recap./ km rodado</t>
    </r>
  </si>
  <si>
    <t>km/jogo</t>
  </si>
  <si>
    <t>Custo mensal com pneus</t>
  </si>
  <si>
    <t>Custo Mensal com Veículos e Equipamentos (R$/mês)</t>
  </si>
  <si>
    <t>4. Ferramentas e Materiais de Consumo</t>
  </si>
  <si>
    <t>Recipiente térmico para água (5L)</t>
  </si>
  <si>
    <t>Pá de Concha</t>
  </si>
  <si>
    <t>Vassoura</t>
  </si>
  <si>
    <t>Custo Mensal com Ferramentas e Materiais de Consumo (R$/mês)</t>
  </si>
  <si>
    <t xml:space="preserve">5. Custos com administração </t>
  </si>
  <si>
    <t>Lavagem dos caminhões compactadores</t>
  </si>
  <si>
    <t>Publicidade (adesivos equipamentos)</t>
  </si>
  <si>
    <t>cj</t>
  </si>
  <si>
    <t>Publicidade (adesivos veículos)</t>
  </si>
  <si>
    <t>Custo Mensal com Administração</t>
  </si>
  <si>
    <t>6. Monitoramento da Frota</t>
  </si>
  <si>
    <t>Instalação dos equipamentos de monitoramento</t>
  </si>
  <si>
    <t>Custo mensal com manutenção</t>
  </si>
  <si>
    <t>Custo Mensal com Monitoramento da Frota (R$/mês)</t>
  </si>
  <si>
    <t>CUSTO TOTAL MENSAL COM DESPESAS OPERACIONAIS (R$/mês)</t>
  </si>
  <si>
    <t xml:space="preserve">7. Destinação Final dos Resíduos e Rejeitos </t>
  </si>
  <si>
    <r>
      <t xml:space="preserve">Total </t>
    </r>
    <r>
      <rPr>
        <b/>
        <u/>
        <sz val="9"/>
        <rFont val="Arial"/>
        <family val="2"/>
      </rPr>
      <t>(R$)</t>
    </r>
  </si>
  <si>
    <t>Destinação Final Aterro Sanitário</t>
  </si>
  <si>
    <t xml:space="preserve">Ton. </t>
  </si>
  <si>
    <t>CUSTO TOTAL MENSAL COM DESTINAÇÃO FINAL DE REJEITOS (R$/mês)</t>
  </si>
  <si>
    <t>8. Benefícios e Despesas Indiretas - BDI</t>
  </si>
  <si>
    <t>Benefícios e despesas indiretas</t>
  </si>
  <si>
    <t>CUSTO MENSAL COM BDI (R$/mês)</t>
  </si>
  <si>
    <t>PREÇO MENSAL TOTAL (R$/mês)</t>
  </si>
  <si>
    <t xml:space="preserve"> </t>
  </si>
  <si>
    <t xml:space="preserve">Composição dos Encargos Sociais </t>
  </si>
  <si>
    <t>Código</t>
  </si>
  <si>
    <t>Descrição</t>
  </si>
  <si>
    <t>Valor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</si>
  <si>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</si>
  <si>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</si>
  <si>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</si>
  <si>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</si>
  <si>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</si>
  <si>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</si>
  <si>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</si>
  <si>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</si>
  <si>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</si>
  <si>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</si>
  <si>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</si>
  <si>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</si>
  <si>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</si>
  <si>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</si>
  <si>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</si>
  <si>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</si>
  <si>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</t>
  </si>
  <si>
    <t>SOMA GRUPO A</t>
  </si>
  <si>
    <t>B1</t>
  </si>
  <si>
    <t>Férias gozadas</t>
  </si>
  <si>
    <t>B2</t>
  </si>
  <si>
    <t>13º salário</t>
  </si>
  <si>
    <t>B3</t>
  </si>
  <si>
    <t>Licença Paternidade</t>
  </si>
  <si>
    <t>B4</t>
  </si>
  <si>
    <t>Faltas justificadas</t>
  </si>
  <si>
    <t>B5</t>
  </si>
  <si>
    <t>Auxilio acidente de trabalho</t>
  </si>
  <si>
    <t>B6</t>
  </si>
  <si>
    <t>Auxilio doença</t>
  </si>
  <si>
    <t>B</t>
  </si>
  <si>
    <t>SOMA GRUPO B</t>
  </si>
  <si>
    <t>C1</t>
  </si>
  <si>
    <t>Aviso prévio indenizado</t>
  </si>
  <si>
    <t>C2</t>
  </si>
  <si>
    <t xml:space="preserve">Férias indenizadas </t>
  </si>
  <si>
    <t>C3</t>
  </si>
  <si>
    <t>Férias indenizadas s/ aviso previo inden.</t>
  </si>
  <si>
    <t>C4</t>
  </si>
  <si>
    <t>Depósito rescisão sem justa causa</t>
  </si>
  <si>
    <t>C5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</si>
  <si>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</si>
  <si>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</si>
  <si>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</si>
  <si>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</si>
  <si>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</si>
  <si>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</si>
  <si>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FGTS sobre aviso prévio indenizado</t>
  </si>
  <si>
    <t>D</t>
  </si>
  <si>
    <t>SOMA GRUPO D</t>
  </si>
  <si>
    <t>SOMA (A+B+C+D)</t>
  </si>
  <si>
    <t>4. Composição do BDI - Benefícios e Despesas Indiretas</t>
  </si>
  <si>
    <t>Referência estudo TCE</t>
  </si>
  <si>
    <t>1° Quartil</t>
  </si>
  <si>
    <t>Médio</t>
  </si>
  <si>
    <t>3° Quartil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</si>
  <si>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</si>
  <si>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</si>
  <si>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</si>
  <si>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</si>
  <si>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</si>
  <si>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</si>
  <si>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</si>
  <si>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</si>
  <si>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</si>
  <si>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</si>
  <si>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</si>
  <si>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</si>
  <si>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</si>
  <si>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</si>
  <si>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</si>
  <si>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</si>
  <si>
    <t>4. CAGED</t>
  </si>
  <si>
    <t>Rio Grande do Sul  - Coleta de Resíduos Não-Perigosos - CNAE 38114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</si>
  <si>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</si>
  <si>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</si>
  <si>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</si>
  <si>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</si>
  <si>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</si>
  <si>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</si>
  <si>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</si>
  <si>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</si>
  <si>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</si>
  <si>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</si>
  <si>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>Acordo</t>
  </si>
  <si>
    <t>Indicadores</t>
  </si>
  <si>
    <t>Estoque recuperado início do Período 01-03-2018</t>
  </si>
  <si>
    <t>Estoque recuperado final do Período 28-02-2019</t>
  </si>
  <si>
    <t>Variação Emprego Absoluta de 01-03-2018 a 28-02-2019</t>
  </si>
  <si>
    <t>Estoque Médio</t>
  </si>
  <si>
    <t>% Demitidos s/ Justa Causa em relação ao Estoque Médio</t>
  </si>
  <si>
    <t>Taxa de Rotatividade</t>
  </si>
  <si>
    <t>Rotatividade temporal (meses)</t>
  </si>
  <si>
    <t>Dias ano</t>
  </si>
  <si>
    <t>1/3 de férias (dias)</t>
  </si>
  <si>
    <t>Férias (dias)</t>
  </si>
  <si>
    <t>13º Salário (dias)</t>
  </si>
  <si>
    <t>Dias de Aviso prévio</t>
  </si>
  <si>
    <t>Multa FGTS</t>
  </si>
  <si>
    <t>5. Depreciação Referencial TCE/RS (%)</t>
  </si>
  <si>
    <t>Idade do veículo (ano)</t>
  </si>
  <si>
    <t>Depreciação Média</t>
  </si>
  <si>
    <t>6. Remuneração de Capital</t>
  </si>
  <si>
    <t>Fórmula de cálculo da remuneração de capital: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</si>
  <si>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</si>
  <si>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t>i = taxa de juros do mercado (sugere-se adotar a taxa SELIC)</t>
  </si>
  <si>
    <t>Im = investimento médio</t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</si>
  <si>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</si>
  <si>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</si>
  <si>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n = vida útil do bem em anos</t>
  </si>
  <si>
    <t>7. Dimensionamento da frota</t>
  </si>
  <si>
    <t>Indicador</t>
  </si>
  <si>
    <t>Unid</t>
  </si>
  <si>
    <t>População (H)</t>
  </si>
  <si>
    <t>hab</t>
  </si>
  <si>
    <t>Geração per capita (G)</t>
  </si>
  <si>
    <t>Kg/hab.dia</t>
  </si>
  <si>
    <t>Geração total diária (Qd)</t>
  </si>
  <si>
    <t>ton/dia</t>
  </si>
  <si>
    <t>Geração Mensal</t>
  </si>
  <si>
    <t>ton</t>
  </si>
  <si>
    <t>Número de dias de coleta por semana (Dc)</t>
  </si>
  <si>
    <t>Quantitativo diário de coleta (Qc)</t>
  </si>
  <si>
    <t>Densidade RSU compactado</t>
  </si>
  <si>
    <t>Kg/m³</t>
  </si>
  <si>
    <t>Tipo de Veículo (1 = toco, 2 = truck)</t>
  </si>
  <si>
    <t>Capacidade do Compactador</t>
  </si>
  <si>
    <t>m³</t>
  </si>
  <si>
    <t>Capacidade nominal de carga (Cc)</t>
  </si>
  <si>
    <t>Número de Cargas por dia (Nc)</t>
  </si>
  <si>
    <t>Número total de percursos de coleta por veículo, por dia (Np)</t>
  </si>
  <si>
    <t>Número de veículos da Frota (F)</t>
  </si>
  <si>
    <t>Planilha de Composição de Custos de Coleta, Transbordo, Triagem e Destino Final de Resíduos Domiciliares Urbanos</t>
  </si>
  <si>
    <t>Responsável Técnica pela Elaboração desta Planilha</t>
  </si>
  <si>
    <t>Elisa Schuster</t>
  </si>
  <si>
    <t>Schuster Assessoria Ambiental</t>
  </si>
  <si>
    <t>parcial/garis</t>
  </si>
  <si>
    <t>total/motoristas</t>
  </si>
  <si>
    <t>Revisão 01 (Julho de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</si>
</sst>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&quot;R$ &quot;#,##0.00"/>
    <numFmt numFmtId="166" formatCode="&quot;R$ &quot;#,##0.00_);\(&quot;R$ &quot;#,##0.00\)"/>
    <numFmt numFmtId="167" formatCode="_(* #,##0_);_(* \(#,##0\);_(* &quot;-&quot;??_);_(@_)"/>
    <numFmt numFmtId="168" formatCode="_(* #,##0.000_);_(* \(#,##0.000\);_(* &quot;-&quot;??_);_(@_)"/>
    <numFmt numFmtId="169" formatCode="0.0000"/>
    <numFmt numFmtId="170" formatCode="_-* #,##0.000_-;\-* #,##0.000_-;_-* &quot;-&quot;??_-;_-@_-"/>
    <numFmt numFmtId="171" formatCode="_-* #,##0.00_-;\-* #,##0.00_-;_-* &quot;-&quot;?_-;_-@_-"/>
    <numFmt numFmtId="172" formatCode="_-* #,##0_-;\-* #,##0_-;_-* &quot;-&quot;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1"/>
      <color indexed="10"/>
      <name val="Arial"/>
      <family val="2"/>
    </font>
    <font>
      <i/>
      <sz val="11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charset val="1"/>
    </font>
    <font>
      <b/>
      <sz val="8"/>
      <color indexed="81"/>
      <name val="Tahoma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3" fillId="0" borderId="0" applyFont="0" applyFill="0" applyBorder="0" applyAlignment="0" applyProtection="0"/>
  </cellStyleXfs>
  <cellXfs count="313">
    <xf numFmtId="0" fontId="0" fillId="0" borderId="0" xfId="0"/>
    <xf numFmtId="43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3" fontId="2" fillId="0" borderId="12" xfId="1" applyFont="1" applyBorder="1" applyAlignment="1">
      <alignment horizontal="center" vertical="center"/>
    </xf>
    <xf numFmtId="43" fontId="4" fillId="0" borderId="13" xfId="1" applyFont="1" applyBorder="1" applyAlignment="1">
      <alignment vertical="center"/>
    </xf>
    <xf numFmtId="43" fontId="2" fillId="0" borderId="13" xfId="1" applyFont="1" applyBorder="1" applyAlignment="1">
      <alignment vertical="center"/>
    </xf>
    <xf numFmtId="43" fontId="2" fillId="0" borderId="14" xfId="1" applyFont="1" applyBorder="1" applyAlignment="1">
      <alignment vertical="center"/>
    </xf>
    <xf numFmtId="43" fontId="2" fillId="0" borderId="15" xfId="1" applyFont="1" applyBorder="1" applyAlignment="1">
      <alignment horizontal="center" vertical="center"/>
    </xf>
    <xf numFmtId="43" fontId="2" fillId="0" borderId="16" xfId="1" applyFont="1" applyBorder="1" applyAlignment="1">
      <alignment vertical="center"/>
    </xf>
    <xf numFmtId="164" fontId="2" fillId="0" borderId="17" xfId="0" applyNumberFormat="1" applyFont="1" applyBorder="1" applyAlignment="1">
      <alignment vertical="center"/>
    </xf>
    <xf numFmtId="43" fontId="2" fillId="0" borderId="17" xfId="1" applyFont="1" applyBorder="1" applyAlignment="1">
      <alignment vertical="center"/>
    </xf>
    <xf numFmtId="165" fontId="2" fillId="0" borderId="18" xfId="0" applyNumberFormat="1" applyFont="1" applyBorder="1" applyAlignment="1">
      <alignment vertical="center"/>
    </xf>
    <xf numFmtId="10" fontId="2" fillId="0" borderId="19" xfId="2" applyNumberFormat="1" applyFont="1" applyBorder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43" fontId="4" fillId="0" borderId="16" xfId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43" fontId="4" fillId="0" borderId="17" xfId="1" applyFont="1" applyBorder="1" applyAlignment="1">
      <alignment vertical="center"/>
    </xf>
    <xf numFmtId="165" fontId="4" fillId="0" borderId="18" xfId="0" applyNumberFormat="1" applyFont="1" applyBorder="1" applyAlignment="1">
      <alignment vertical="center"/>
    </xf>
    <xf numFmtId="10" fontId="4" fillId="0" borderId="19" xfId="2" applyNumberFormat="1" applyFont="1" applyBorder="1" applyAlignment="1">
      <alignment vertical="center"/>
    </xf>
    <xf numFmtId="43" fontId="2" fillId="0" borderId="16" xfId="1" applyFont="1" applyBorder="1" applyAlignment="1">
      <alignment horizontal="left" vertical="center"/>
    </xf>
    <xf numFmtId="4" fontId="2" fillId="0" borderId="17" xfId="0" applyNumberFormat="1" applyFont="1" applyBorder="1" applyAlignment="1">
      <alignment horizontal="centerContinuous" vertical="center"/>
    </xf>
    <xf numFmtId="43" fontId="4" fillId="0" borderId="16" xfId="1" applyFont="1" applyBorder="1" applyAlignment="1">
      <alignment horizontal="left" vertical="center"/>
    </xf>
    <xf numFmtId="4" fontId="4" fillId="0" borderId="17" xfId="0" applyNumberFormat="1" applyFont="1" applyBorder="1" applyAlignment="1">
      <alignment horizontal="centerContinuous" vertical="center"/>
    </xf>
    <xf numFmtId="165" fontId="2" fillId="0" borderId="20" xfId="0" applyNumberFormat="1" applyFont="1" applyBorder="1" applyAlignment="1">
      <alignment vertical="center"/>
    </xf>
    <xf numFmtId="165" fontId="2" fillId="0" borderId="21" xfId="0" applyNumberFormat="1" applyFont="1" applyBorder="1" applyAlignment="1">
      <alignment vertical="center"/>
    </xf>
    <xf numFmtId="43" fontId="2" fillId="0" borderId="9" xfId="1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centerContinuous" vertical="center"/>
    </xf>
    <xf numFmtId="43" fontId="2" fillId="0" borderId="10" xfId="1" applyFont="1" applyBorder="1" applyAlignment="1">
      <alignment vertical="center"/>
    </xf>
    <xf numFmtId="166" fontId="2" fillId="0" borderId="22" xfId="0" applyNumberFormat="1" applyFont="1" applyBorder="1" applyAlignment="1">
      <alignment vertical="center"/>
    </xf>
    <xf numFmtId="9" fontId="2" fillId="0" borderId="23" xfId="2" applyFont="1" applyBorder="1" applyAlignment="1">
      <alignment vertical="center"/>
    </xf>
    <xf numFmtId="43" fontId="2" fillId="0" borderId="25" xfId="1" applyFont="1" applyBorder="1" applyAlignment="1">
      <alignment horizontal="right" vertical="center"/>
    </xf>
    <xf numFmtId="43" fontId="4" fillId="0" borderId="12" xfId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" fontId="4" fillId="0" borderId="15" xfId="1" applyNumberFormat="1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1" fontId="4" fillId="0" borderId="26" xfId="1" applyNumberFormat="1" applyFont="1" applyBorder="1" applyAlignment="1">
      <alignment horizontal="center" vertical="center"/>
    </xf>
    <xf numFmtId="43" fontId="2" fillId="0" borderId="27" xfId="1" applyFont="1" applyBorder="1" applyAlignment="1">
      <alignment vertical="center"/>
    </xf>
    <xf numFmtId="4" fontId="2" fillId="0" borderId="28" xfId="0" applyNumberFormat="1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1" fontId="2" fillId="0" borderId="29" xfId="1" applyNumberFormat="1" applyFont="1" applyBorder="1" applyAlignment="1">
      <alignment horizontal="center" vertical="center"/>
    </xf>
    <xf numFmtId="43" fontId="2" fillId="0" borderId="7" xfId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43" fontId="4" fillId="0" borderId="0" xfId="1" applyFont="1" applyBorder="1" applyAlignment="1">
      <alignment vertical="center"/>
    </xf>
    <xf numFmtId="43" fontId="4" fillId="0" borderId="8" xfId="1" applyFont="1" applyBorder="1" applyAlignment="1">
      <alignment vertical="center"/>
    </xf>
    <xf numFmtId="43" fontId="4" fillId="0" borderId="32" xfId="1" applyFont="1" applyBorder="1" applyAlignment="1">
      <alignment vertical="center"/>
    </xf>
    <xf numFmtId="43" fontId="4" fillId="0" borderId="33" xfId="1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1" fontId="4" fillId="0" borderId="34" xfId="1" applyNumberFormat="1" applyFont="1" applyBorder="1" applyAlignment="1">
      <alignment horizontal="center" vertical="center"/>
    </xf>
    <xf numFmtId="1" fontId="4" fillId="0" borderId="0" xfId="1" applyNumberFormat="1" applyFont="1" applyBorder="1" applyAlignment="1">
      <alignment horizontal="center" vertical="center"/>
    </xf>
    <xf numFmtId="167" fontId="4" fillId="0" borderId="0" xfId="1" applyNumberFormat="1" applyFont="1" applyBorder="1" applyAlignment="1">
      <alignment horizontal="center" vertical="center"/>
    </xf>
    <xf numFmtId="43" fontId="2" fillId="0" borderId="9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167" fontId="2" fillId="0" borderId="0" xfId="1" applyNumberFormat="1" applyFont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43" fontId="2" fillId="4" borderId="36" xfId="1" applyFont="1" applyFill="1" applyBorder="1" applyAlignment="1">
      <alignment horizontal="center" vertical="center"/>
    </xf>
    <xf numFmtId="43" fontId="2" fillId="4" borderId="23" xfId="1" applyFont="1" applyFill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37" xfId="0" applyFont="1" applyBorder="1" applyAlignment="1">
      <alignment horizontal="center" vertical="center"/>
    </xf>
    <xf numFmtId="4" fontId="2" fillId="3" borderId="0" xfId="0" applyNumberFormat="1" applyFont="1" applyFill="1"/>
    <xf numFmtId="43" fontId="4" fillId="0" borderId="37" xfId="1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2" fontId="4" fillId="3" borderId="18" xfId="0" applyNumberFormat="1" applyFont="1" applyFill="1" applyBorder="1" applyAlignment="1">
      <alignment horizontal="center" vertical="center"/>
    </xf>
    <xf numFmtId="43" fontId="4" fillId="0" borderId="18" xfId="1" applyFont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43" fontId="4" fillId="0" borderId="18" xfId="1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20" xfId="1" applyFont="1" applyBorder="1" applyAlignment="1">
      <alignment horizontal="center" vertical="center"/>
    </xf>
    <xf numFmtId="43" fontId="4" fillId="5" borderId="18" xfId="1" applyFont="1" applyFill="1" applyBorder="1" applyAlignment="1">
      <alignment horizontal="center" vertical="center"/>
    </xf>
    <xf numFmtId="43" fontId="4" fillId="0" borderId="0" xfId="1" applyFont="1" applyAlignment="1">
      <alignment horizontal="right" vertical="center"/>
    </xf>
    <xf numFmtId="43" fontId="4" fillId="0" borderId="18" xfId="1" applyFont="1" applyBorder="1" applyAlignment="1">
      <alignment vertical="center"/>
    </xf>
    <xf numFmtId="43" fontId="2" fillId="4" borderId="11" xfId="1" applyFont="1" applyFill="1" applyBorder="1" applyAlignment="1">
      <alignment horizontal="center" vertical="center"/>
    </xf>
    <xf numFmtId="1" fontId="2" fillId="3" borderId="18" xfId="0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43" fontId="4" fillId="6" borderId="18" xfId="1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43" fontId="2" fillId="0" borderId="18" xfId="1" applyFont="1" applyBorder="1" applyAlignment="1">
      <alignment horizontal="center" vertical="center"/>
    </xf>
    <xf numFmtId="10" fontId="4" fillId="6" borderId="18" xfId="1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3" fontId="2" fillId="0" borderId="17" xfId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7" fontId="4" fillId="0" borderId="18" xfId="1" applyNumberFormat="1" applyFont="1" applyBorder="1" applyAlignment="1">
      <alignment horizontal="center" vertical="center"/>
    </xf>
    <xf numFmtId="43" fontId="4" fillId="3" borderId="0" xfId="1" applyFont="1" applyFill="1" applyAlignment="1">
      <alignment vertical="center"/>
    </xf>
    <xf numFmtId="0" fontId="4" fillId="6" borderId="0" xfId="0" applyFont="1" applyFill="1" applyAlignment="1">
      <alignment vertical="center"/>
    </xf>
    <xf numFmtId="167" fontId="4" fillId="6" borderId="18" xfId="1" applyNumberFormat="1" applyFont="1" applyFill="1" applyBorder="1" applyAlignment="1">
      <alignment vertical="center"/>
    </xf>
    <xf numFmtId="43" fontId="2" fillId="4" borderId="38" xfId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164" fontId="4" fillId="3" borderId="18" xfId="1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3" fontId="2" fillId="0" borderId="11" xfId="1" applyFont="1" applyBorder="1" applyAlignment="1">
      <alignment vertical="center"/>
    </xf>
    <xf numFmtId="0" fontId="2" fillId="4" borderId="36" xfId="0" applyFont="1" applyFill="1" applyBorder="1" applyAlignment="1">
      <alignment horizontal="center" vertical="center" wrapText="1"/>
    </xf>
    <xf numFmtId="13" fontId="4" fillId="3" borderId="18" xfId="0" applyNumberFormat="1" applyFont="1" applyFill="1" applyBorder="1" applyAlignment="1">
      <alignment horizontal="center" vertical="center"/>
    </xf>
    <xf numFmtId="43" fontId="4" fillId="3" borderId="37" xfId="1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8" xfId="0" applyFont="1" applyBorder="1" applyAlignment="1">
      <alignment horizontal="center"/>
    </xf>
    <xf numFmtId="43" fontId="4" fillId="0" borderId="0" xfId="1" applyFont="1"/>
    <xf numFmtId="0" fontId="4" fillId="0" borderId="0" xfId="0" applyFont="1"/>
    <xf numFmtId="1" fontId="4" fillId="0" borderId="1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43" fontId="4" fillId="0" borderId="10" xfId="1" applyFont="1" applyBorder="1" applyAlignment="1">
      <alignment vertical="center"/>
    </xf>
    <xf numFmtId="43" fontId="4" fillId="0" borderId="11" xfId="1" applyFont="1" applyBorder="1" applyAlignment="1">
      <alignment vertical="center"/>
    </xf>
    <xf numFmtId="43" fontId="2" fillId="4" borderId="38" xfId="1" applyFont="1" applyFill="1" applyBorder="1" applyAlignment="1">
      <alignment horizontal="center" vertical="center"/>
    </xf>
    <xf numFmtId="0" fontId="7" fillId="0" borderId="0" xfId="3" applyFont="1" applyAlignment="1" applyProtection="1">
      <alignment vertical="center"/>
    </xf>
    <xf numFmtId="43" fontId="4" fillId="0" borderId="0" xfId="1" applyFont="1" applyAlignment="1">
      <alignment horizontal="center" vertical="center"/>
    </xf>
    <xf numFmtId="43" fontId="4" fillId="0" borderId="0" xfId="0" applyNumberFormat="1" applyFont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43" fontId="2" fillId="0" borderId="39" xfId="1" applyFont="1" applyBorder="1" applyAlignment="1">
      <alignment horizontal="center" vertical="center"/>
    </xf>
    <xf numFmtId="43" fontId="4" fillId="5" borderId="18" xfId="1" applyFont="1" applyFill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43" fontId="2" fillId="4" borderId="31" xfId="1" applyFont="1" applyFill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43" fontId="2" fillId="0" borderId="39" xfId="1" applyFont="1" applyFill="1" applyBorder="1" applyAlignment="1">
      <alignment horizontal="center" vertical="center"/>
    </xf>
    <xf numFmtId="43" fontId="2" fillId="0" borderId="18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3" borderId="18" xfId="1" applyFont="1" applyFill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4" fontId="4" fillId="3" borderId="18" xfId="0" applyNumberFormat="1" applyFont="1" applyFill="1" applyBorder="1" applyAlignment="1">
      <alignment vertical="center"/>
    </xf>
    <xf numFmtId="4" fontId="4" fillId="3" borderId="37" xfId="0" applyNumberFormat="1" applyFont="1" applyFill="1" applyBorder="1" applyAlignment="1">
      <alignment horizontal="center" vertical="center"/>
    </xf>
    <xf numFmtId="168" fontId="4" fillId="3" borderId="37" xfId="1" applyNumberFormat="1" applyFont="1" applyFill="1" applyBorder="1" applyAlignment="1">
      <alignment horizontal="center" vertical="center"/>
    </xf>
    <xf numFmtId="168" fontId="4" fillId="0" borderId="37" xfId="1" applyNumberFormat="1" applyFont="1" applyBorder="1" applyAlignment="1">
      <alignment horizontal="center" vertical="center"/>
    </xf>
    <xf numFmtId="4" fontId="4" fillId="3" borderId="18" xfId="0" applyNumberFormat="1" applyFont="1" applyFill="1" applyBorder="1" applyAlignment="1">
      <alignment horizontal="center" vertical="center"/>
    </xf>
    <xf numFmtId="43" fontId="4" fillId="0" borderId="0" xfId="1" applyFont="1" applyFill="1" applyAlignment="1">
      <alignment vertical="center"/>
    </xf>
    <xf numFmtId="168" fontId="4" fillId="0" borderId="18" xfId="1" applyNumberFormat="1" applyFont="1" applyBorder="1" applyAlignment="1">
      <alignment horizontal="center" vertical="center"/>
    </xf>
    <xf numFmtId="167" fontId="2" fillId="0" borderId="18" xfId="1" applyNumberFormat="1" applyFont="1" applyBorder="1" applyAlignment="1">
      <alignment horizontal="center" vertical="center"/>
    </xf>
    <xf numFmtId="168" fontId="2" fillId="0" borderId="18" xfId="1" applyNumberFormat="1" applyFont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43" fontId="4" fillId="0" borderId="37" xfId="1" applyFont="1" applyFill="1" applyBorder="1" applyAlignment="1">
      <alignment horizontal="center" vertical="center"/>
    </xf>
    <xf numFmtId="3" fontId="4" fillId="3" borderId="18" xfId="0" applyNumberFormat="1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horizontal="center" vertical="center"/>
    </xf>
    <xf numFmtId="43" fontId="2" fillId="2" borderId="18" xfId="1" applyFont="1" applyFill="1" applyBorder="1" applyAlignment="1">
      <alignment vertical="center"/>
    </xf>
    <xf numFmtId="43" fontId="2" fillId="4" borderId="18" xfId="1" applyFont="1" applyFill="1" applyBorder="1" applyAlignment="1">
      <alignment horizontal="center" vertical="center"/>
    </xf>
    <xf numFmtId="43" fontId="9" fillId="0" borderId="18" xfId="1" applyFont="1" applyBorder="1" applyAlignment="1">
      <alignment horizontal="center" vertical="center"/>
    </xf>
    <xf numFmtId="164" fontId="2" fillId="4" borderId="38" xfId="1" applyNumberFormat="1" applyFont="1" applyFill="1" applyBorder="1" applyAlignment="1">
      <alignment horizontal="center" vertical="center"/>
    </xf>
    <xf numFmtId="43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43" fontId="9" fillId="3" borderId="18" xfId="1" applyFont="1" applyFill="1" applyBorder="1" applyAlignment="1">
      <alignment horizontal="center" vertical="center"/>
    </xf>
    <xf numFmtId="0" fontId="3" fillId="0" borderId="0" xfId="4" applyAlignment="1">
      <alignment vertical="center"/>
    </xf>
    <xf numFmtId="0" fontId="3" fillId="0" borderId="0" xfId="4" applyAlignment="1">
      <alignment horizontal="center" vertical="center"/>
    </xf>
    <xf numFmtId="0" fontId="11" fillId="0" borderId="0" xfId="4" applyFont="1" applyAlignment="1">
      <alignment vertical="center"/>
    </xf>
    <xf numFmtId="43" fontId="11" fillId="0" borderId="0" xfId="5" applyFont="1" applyBorder="1" applyAlignment="1">
      <alignment vertical="center"/>
    </xf>
    <xf numFmtId="43" fontId="2" fillId="4" borderId="11" xfId="5" applyFont="1" applyFill="1" applyBorder="1" applyAlignment="1">
      <alignment horizontal="center" vertical="center"/>
    </xf>
    <xf numFmtId="43" fontId="2" fillId="0" borderId="0" xfId="0" applyNumberFormat="1" applyFont="1" applyAlignment="1">
      <alignment vertical="center"/>
    </xf>
    <xf numFmtId="0" fontId="14" fillId="0" borderId="42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10" fontId="14" fillId="0" borderId="26" xfId="0" applyNumberFormat="1" applyFont="1" applyBorder="1" applyAlignment="1">
      <alignment horizontal="right" vertical="center"/>
    </xf>
    <xf numFmtId="0" fontId="15" fillId="0" borderId="18" xfId="0" applyFont="1" applyBorder="1" applyAlignment="1">
      <alignment horizontal="left" vertical="center"/>
    </xf>
    <xf numFmtId="10" fontId="15" fillId="0" borderId="26" xfId="0" applyNumberFormat="1" applyFont="1" applyBorder="1" applyAlignment="1">
      <alignment horizontal="right" vertical="center"/>
    </xf>
    <xf numFmtId="0" fontId="14" fillId="7" borderId="42" xfId="0" applyFont="1" applyFill="1" applyBorder="1" applyAlignment="1">
      <alignment horizontal="left" vertical="center"/>
    </xf>
    <xf numFmtId="0" fontId="15" fillId="7" borderId="18" xfId="0" applyFont="1" applyFill="1" applyBorder="1" applyAlignment="1">
      <alignment horizontal="left" vertical="center"/>
    </xf>
    <xf numFmtId="10" fontId="15" fillId="7" borderId="26" xfId="0" applyNumberFormat="1" applyFont="1" applyFill="1" applyBorder="1" applyAlignment="1">
      <alignment horizontal="right" vertical="center"/>
    </xf>
    <xf numFmtId="0" fontId="16" fillId="0" borderId="18" xfId="0" applyFont="1" applyBorder="1" applyAlignment="1">
      <alignment horizontal="left" vertical="center"/>
    </xf>
    <xf numFmtId="10" fontId="14" fillId="6" borderId="26" xfId="0" applyNumberFormat="1" applyFont="1" applyFill="1" applyBorder="1" applyAlignment="1">
      <alignment horizontal="right" vertical="center"/>
    </xf>
    <xf numFmtId="10" fontId="15" fillId="6" borderId="26" xfId="0" applyNumberFormat="1" applyFont="1" applyFill="1" applyBorder="1" applyAlignment="1">
      <alignment horizontal="right" vertical="center"/>
    </xf>
    <xf numFmtId="10" fontId="4" fillId="0" borderId="0" xfId="0" applyNumberFormat="1" applyFont="1"/>
    <xf numFmtId="9" fontId="14" fillId="0" borderId="0" xfId="2" applyFont="1" applyBorder="1" applyAlignment="1">
      <alignment horizontal="right" vertical="center"/>
    </xf>
    <xf numFmtId="0" fontId="14" fillId="0" borderId="18" xfId="0" applyFont="1" applyBorder="1" applyAlignment="1">
      <alignment horizontal="left" vertical="center" wrapText="1"/>
    </xf>
    <xf numFmtId="0" fontId="14" fillId="8" borderId="43" xfId="0" applyFont="1" applyFill="1" applyBorder="1" applyAlignment="1">
      <alignment horizontal="left" vertical="center"/>
    </xf>
    <xf numFmtId="0" fontId="15" fillId="8" borderId="21" xfId="0" applyFont="1" applyFill="1" applyBorder="1" applyAlignment="1">
      <alignment horizontal="left" vertical="center"/>
    </xf>
    <xf numFmtId="10" fontId="15" fillId="8" borderId="34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10" fontId="15" fillId="0" borderId="0" xfId="0" applyNumberFormat="1" applyFont="1" applyAlignment="1">
      <alignment horizontal="right" vertical="center"/>
    </xf>
    <xf numFmtId="0" fontId="14" fillId="6" borderId="0" xfId="0" applyFont="1" applyFill="1" applyAlignment="1">
      <alignment horizontal="left" vertical="center"/>
    </xf>
    <xf numFmtId="10" fontId="1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7" fillId="0" borderId="0" xfId="3" applyFont="1" applyBorder="1" applyAlignment="1" applyProtection="1">
      <alignment horizontal="left" vertical="center"/>
    </xf>
    <xf numFmtId="0" fontId="16" fillId="0" borderId="0" xfId="0" applyFont="1"/>
    <xf numFmtId="0" fontId="14" fillId="0" borderId="0" xfId="0" applyFont="1" applyAlignment="1">
      <alignment horizontal="right" vertical="center"/>
    </xf>
    <xf numFmtId="0" fontId="7" fillId="0" borderId="0" xfId="3" applyFont="1" applyBorder="1" applyAlignment="1" applyProtection="1">
      <alignment vertical="center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4" fillId="0" borderId="7" xfId="0" applyFont="1" applyBorder="1"/>
    <xf numFmtId="9" fontId="4" fillId="0" borderId="42" xfId="2" applyFont="1" applyBorder="1"/>
    <xf numFmtId="9" fontId="4" fillId="0" borderId="18" xfId="2" applyFont="1" applyBorder="1" applyAlignment="1">
      <alignment horizontal="center"/>
    </xf>
    <xf numFmtId="9" fontId="4" fillId="0" borderId="26" xfId="2" applyFont="1" applyBorder="1"/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10" fontId="4" fillId="3" borderId="15" xfId="0" applyNumberFormat="1" applyFont="1" applyFill="1" applyBorder="1" applyAlignment="1">
      <alignment horizontal="center" vertical="center"/>
    </xf>
    <xf numFmtId="10" fontId="4" fillId="0" borderId="42" xfId="2" applyNumberFormat="1" applyFont="1" applyBorder="1" applyAlignment="1">
      <alignment horizontal="right"/>
    </xf>
    <xf numFmtId="10" fontId="4" fillId="0" borderId="18" xfId="2" applyNumberFormat="1" applyFont="1" applyBorder="1" applyAlignment="1">
      <alignment horizontal="right"/>
    </xf>
    <xf numFmtId="10" fontId="4" fillId="0" borderId="26" xfId="2" applyNumberFormat="1" applyFont="1" applyBorder="1" applyAlignment="1">
      <alignment horizontal="right"/>
    </xf>
    <xf numFmtId="0" fontId="4" fillId="0" borderId="42" xfId="0" applyFont="1" applyBorder="1" applyAlignment="1">
      <alignment horizontal="left" vertical="center"/>
    </xf>
    <xf numFmtId="10" fontId="4" fillId="3" borderId="26" xfId="0" applyNumberFormat="1" applyFont="1" applyFill="1" applyBorder="1" applyAlignment="1">
      <alignment horizontal="center" vertical="center"/>
    </xf>
    <xf numFmtId="10" fontId="4" fillId="0" borderId="26" xfId="0" applyNumberFormat="1" applyFont="1" applyBorder="1" applyAlignment="1">
      <alignment horizontal="center" vertical="center"/>
    </xf>
    <xf numFmtId="10" fontId="4" fillId="3" borderId="18" xfId="2" applyNumberFormat="1" applyFont="1" applyFill="1" applyBorder="1" applyAlignment="1">
      <alignment horizontal="center"/>
    </xf>
    <xf numFmtId="10" fontId="4" fillId="0" borderId="26" xfId="2" applyNumberFormat="1" applyFont="1" applyBorder="1"/>
    <xf numFmtId="0" fontId="4" fillId="0" borderId="42" xfId="0" applyFont="1" applyBorder="1" applyAlignment="1">
      <alignment horizontal="right"/>
    </xf>
    <xf numFmtId="0" fontId="4" fillId="3" borderId="18" xfId="0" applyFont="1" applyFill="1" applyBorder="1" applyAlignment="1">
      <alignment horizontal="center"/>
    </xf>
    <xf numFmtId="0" fontId="4" fillId="0" borderId="26" xfId="0" applyFont="1" applyBorder="1"/>
    <xf numFmtId="0" fontId="4" fillId="0" borderId="43" xfId="0" applyFont="1" applyBorder="1" applyAlignment="1">
      <alignment horizontal="left" vertical="center"/>
    </xf>
    <xf numFmtId="10" fontId="4" fillId="3" borderId="34" xfId="0" applyNumberFormat="1" applyFont="1" applyFill="1" applyBorder="1" applyAlignment="1">
      <alignment horizontal="center" vertical="center"/>
    </xf>
    <xf numFmtId="0" fontId="4" fillId="0" borderId="42" xfId="0" applyFont="1" applyBorder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0" fontId="4" fillId="0" borderId="3" xfId="0" applyNumberFormat="1" applyFont="1" applyBorder="1" applyAlignment="1">
      <alignment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44" xfId="0" applyFont="1" applyBorder="1" applyAlignment="1">
      <alignment vertical="center"/>
    </xf>
    <xf numFmtId="0" fontId="2" fillId="7" borderId="9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vertical="center"/>
    </xf>
    <xf numFmtId="10" fontId="2" fillId="7" borderId="11" xfId="0" applyNumberFormat="1" applyFont="1" applyFill="1" applyBorder="1" applyAlignment="1">
      <alignment horizontal="center" vertical="center" wrapText="1"/>
    </xf>
    <xf numFmtId="10" fontId="4" fillId="0" borderId="43" xfId="2" applyNumberFormat="1" applyFont="1" applyBorder="1" applyAlignment="1">
      <alignment horizontal="right"/>
    </xf>
    <xf numFmtId="10" fontId="4" fillId="0" borderId="21" xfId="2" applyNumberFormat="1" applyFont="1" applyBorder="1" applyAlignment="1">
      <alignment horizontal="right"/>
    </xf>
    <xf numFmtId="10" fontId="4" fillId="0" borderId="34" xfId="2" applyNumberFormat="1" applyFont="1" applyBorder="1" applyAlignment="1">
      <alignment horizontal="right"/>
    </xf>
    <xf numFmtId="0" fontId="2" fillId="0" borderId="0" xfId="0" applyFont="1"/>
    <xf numFmtId="0" fontId="17" fillId="0" borderId="16" xfId="0" applyFont="1" applyBorder="1"/>
    <xf numFmtId="0" fontId="4" fillId="0" borderId="19" xfId="0" applyFont="1" applyBorder="1"/>
    <xf numFmtId="0" fontId="17" fillId="0" borderId="46" xfId="0" applyFont="1" applyBorder="1"/>
    <xf numFmtId="0" fontId="17" fillId="3" borderId="26" xfId="0" applyFont="1" applyFill="1" applyBorder="1"/>
    <xf numFmtId="0" fontId="17" fillId="0" borderId="42" xfId="0" applyFont="1" applyBorder="1"/>
    <xf numFmtId="0" fontId="4" fillId="3" borderId="26" xfId="0" applyFont="1" applyFill="1" applyBorder="1"/>
    <xf numFmtId="0" fontId="4" fillId="0" borderId="46" xfId="0" applyFont="1" applyBorder="1"/>
    <xf numFmtId="0" fontId="4" fillId="3" borderId="47" xfId="0" applyFont="1" applyFill="1" applyBorder="1"/>
    <xf numFmtId="0" fontId="4" fillId="0" borderId="48" xfId="0" applyFont="1" applyBorder="1"/>
    <xf numFmtId="0" fontId="4" fillId="0" borderId="49" xfId="0" applyFont="1" applyBorder="1"/>
    <xf numFmtId="0" fontId="4" fillId="3" borderId="50" xfId="0" applyFont="1" applyFill="1" applyBorder="1"/>
    <xf numFmtId="0" fontId="4" fillId="0" borderId="8" xfId="0" applyFont="1" applyBorder="1"/>
    <xf numFmtId="0" fontId="2" fillId="0" borderId="47" xfId="0" applyFont="1" applyBorder="1"/>
    <xf numFmtId="10" fontId="17" fillId="0" borderId="26" xfId="2" applyNumberFormat="1" applyFont="1" applyBorder="1"/>
    <xf numFmtId="169" fontId="2" fillId="0" borderId="26" xfId="0" applyNumberFormat="1" applyFont="1" applyBorder="1"/>
    <xf numFmtId="0" fontId="17" fillId="0" borderId="26" xfId="0" applyFont="1" applyBorder="1"/>
    <xf numFmtId="0" fontId="17" fillId="0" borderId="47" xfId="0" applyFont="1" applyBorder="1"/>
    <xf numFmtId="9" fontId="17" fillId="0" borderId="26" xfId="2" applyFont="1" applyBorder="1"/>
    <xf numFmtId="0" fontId="17" fillId="0" borderId="27" xfId="0" applyFont="1" applyBorder="1"/>
    <xf numFmtId="9" fontId="2" fillId="0" borderId="29" xfId="2" applyFont="1" applyBorder="1"/>
    <xf numFmtId="0" fontId="3" fillId="0" borderId="0" xfId="0" applyFont="1"/>
    <xf numFmtId="0" fontId="15" fillId="0" borderId="42" xfId="0" applyFont="1" applyBorder="1" applyAlignment="1">
      <alignment horizontal="center" vertical="center"/>
    </xf>
    <xf numFmtId="0" fontId="15" fillId="10" borderId="18" xfId="0" applyFont="1" applyFill="1" applyBorder="1" applyAlignment="1">
      <alignment horizontal="center" vertical="center"/>
    </xf>
    <xf numFmtId="0" fontId="11" fillId="0" borderId="0" xfId="0" applyFont="1"/>
    <xf numFmtId="0" fontId="14" fillId="0" borderId="42" xfId="0" applyFont="1" applyBorder="1" applyAlignment="1">
      <alignment horizontal="center" vertical="center"/>
    </xf>
    <xf numFmtId="2" fontId="14" fillId="10" borderId="18" xfId="0" applyNumberFormat="1" applyFont="1" applyFill="1" applyBorder="1" applyAlignment="1">
      <alignment horizontal="right" vertical="center"/>
    </xf>
    <xf numFmtId="0" fontId="14" fillId="0" borderId="43" xfId="0" applyFont="1" applyBorder="1" applyAlignment="1">
      <alignment horizontal="center" vertical="center"/>
    </xf>
    <xf numFmtId="2" fontId="14" fillId="10" borderId="21" xfId="0" applyNumberFormat="1" applyFont="1" applyFill="1" applyBorder="1" applyAlignment="1">
      <alignment horizontal="right" vertical="center"/>
    </xf>
    <xf numFmtId="0" fontId="19" fillId="9" borderId="51" xfId="0" applyFont="1" applyFill="1" applyBorder="1" applyAlignment="1">
      <alignment horizontal="center"/>
    </xf>
    <xf numFmtId="0" fontId="3" fillId="0" borderId="52" xfId="0" applyFont="1" applyBorder="1"/>
    <xf numFmtId="0" fontId="20" fillId="0" borderId="52" xfId="0" applyFont="1" applyBorder="1" applyAlignment="1">
      <alignment horizontal="justify"/>
    </xf>
    <xf numFmtId="0" fontId="20" fillId="0" borderId="53" xfId="0" applyFont="1" applyBorder="1" applyAlignment="1">
      <alignment horizontal="justify"/>
    </xf>
    <xf numFmtId="0" fontId="19" fillId="0" borderId="42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42" xfId="0" applyFont="1" applyBorder="1"/>
    <xf numFmtId="0" fontId="2" fillId="0" borderId="18" xfId="0" applyFont="1" applyBorder="1"/>
    <xf numFmtId="0" fontId="2" fillId="0" borderId="26" xfId="0" applyFont="1" applyBorder="1"/>
    <xf numFmtId="170" fontId="16" fillId="0" borderId="26" xfId="1" applyNumberFormat="1" applyFont="1" applyBorder="1" applyAlignment="1">
      <alignment horizontal="center" vertical="center" wrapText="1"/>
    </xf>
    <xf numFmtId="171" fontId="4" fillId="0" borderId="26" xfId="0" applyNumberFormat="1" applyFont="1" applyBorder="1"/>
    <xf numFmtId="2" fontId="4" fillId="0" borderId="26" xfId="0" applyNumberFormat="1" applyFont="1" applyBorder="1"/>
    <xf numFmtId="171" fontId="4" fillId="3" borderId="26" xfId="0" applyNumberFormat="1" applyFont="1" applyFill="1" applyBorder="1"/>
    <xf numFmtId="172" fontId="4" fillId="3" borderId="26" xfId="0" applyNumberFormat="1" applyFont="1" applyFill="1" applyBorder="1"/>
    <xf numFmtId="0" fontId="4" fillId="0" borderId="43" xfId="0" applyFont="1" applyBorder="1"/>
    <xf numFmtId="0" fontId="4" fillId="0" borderId="21" xfId="0" applyFont="1" applyBorder="1"/>
    <xf numFmtId="171" fontId="4" fillId="0" borderId="34" xfId="0" applyNumberFormat="1" applyFont="1" applyBorder="1"/>
    <xf numFmtId="10" fontId="4" fillId="5" borderId="18" xfId="1" applyNumberFormat="1" applyFont="1" applyFill="1" applyBorder="1" applyAlignment="1">
      <alignment horizontal="center" vertical="center"/>
    </xf>
    <xf numFmtId="10" fontId="4" fillId="0" borderId="18" xfId="1" applyNumberFormat="1" applyFont="1" applyBorder="1" applyAlignment="1">
      <alignment vertical="center"/>
    </xf>
    <xf numFmtId="4" fontId="2" fillId="3" borderId="18" xfId="0" applyNumberFormat="1" applyFont="1" applyFill="1" applyBorder="1"/>
    <xf numFmtId="10" fontId="2" fillId="3" borderId="3" xfId="2" applyNumberFormat="1" applyFont="1" applyFill="1" applyBorder="1" applyAlignment="1">
      <alignment vertical="center"/>
    </xf>
    <xf numFmtId="10" fontId="2" fillId="3" borderId="18" xfId="1" applyNumberFormat="1" applyFont="1" applyFill="1" applyBorder="1" applyAlignment="1">
      <alignment vertical="center"/>
    </xf>
    <xf numFmtId="10" fontId="2" fillId="3" borderId="18" xfId="0" applyNumberFormat="1" applyFont="1" applyFill="1" applyBorder="1" applyAlignment="1">
      <alignment horizontal="center" vertical="center"/>
    </xf>
    <xf numFmtId="10" fontId="4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2" fillId="2" borderId="9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43" fontId="2" fillId="2" borderId="11" xfId="1" applyFont="1" applyFill="1" applyBorder="1" applyAlignment="1">
      <alignment horizontal="center" vertical="center"/>
    </xf>
    <xf numFmtId="43" fontId="2" fillId="0" borderId="16" xfId="1" applyFont="1" applyBorder="1" applyAlignment="1">
      <alignment horizontal="left" vertical="center"/>
    </xf>
    <xf numFmtId="43" fontId="2" fillId="0" borderId="17" xfId="1" applyFont="1" applyBorder="1" applyAlignment="1">
      <alignment horizontal="left" vertical="center"/>
    </xf>
    <xf numFmtId="43" fontId="2" fillId="0" borderId="9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24" xfId="1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9" fontId="2" fillId="0" borderId="40" xfId="2" applyFont="1" applyBorder="1" applyAlignment="1">
      <alignment horizontal="center"/>
    </xf>
    <xf numFmtId="9" fontId="2" fillId="0" borderId="41" xfId="2" applyFont="1" applyBorder="1" applyAlignment="1">
      <alignment horizontal="center"/>
    </xf>
    <xf numFmtId="9" fontId="2" fillId="0" borderId="15" xfId="2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9" borderId="12" xfId="0" applyFont="1" applyFill="1" applyBorder="1" applyAlignment="1">
      <alignment horizontal="center"/>
    </xf>
    <xf numFmtId="0" fontId="2" fillId="9" borderId="45" xfId="0" applyFont="1" applyFill="1" applyBorder="1" applyAlignment="1">
      <alignment horizontal="center"/>
    </xf>
    <xf numFmtId="0" fontId="18" fillId="9" borderId="9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0" fontId="19" fillId="9" borderId="40" xfId="0" applyFont="1" applyFill="1" applyBorder="1" applyAlignment="1">
      <alignment horizontal="center"/>
    </xf>
    <xf numFmtId="0" fontId="19" fillId="9" borderId="41" xfId="0" applyFont="1" applyFill="1" applyBorder="1" applyAlignment="1">
      <alignment horizontal="center"/>
    </xf>
    <xf numFmtId="0" fontId="19" fillId="9" borderId="15" xfId="0" applyFont="1" applyFill="1" applyBorder="1" applyAlignment="1">
      <alignment horizontal="center"/>
    </xf>
  </cellXfs>
  <cellStyles count="6">
    <cellStyle name="Hiperlink" xfId="3" builtinId="8"/>
    <cellStyle name="Normal" xfId="0" builtinId="0"/>
    <cellStyle name="Normal 2 2" xfId="4" xr:uid="{00000000-0005-0000-0000-000002000000}"/>
    <cellStyle name="Porcentagem" xfId="2" builtinId="5"/>
    <cellStyle name="Vírgula" xfId="1" builtinId="3"/>
    <cellStyle name="Vírgula 3" xfId="5" xr:uid="{00000000-0005-0000-0000-000005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</xdr:row>
      <xdr:rowOff>28575</xdr:rowOff>
    </xdr:from>
    <xdr:to>
      <xdr:col>0</xdr:col>
      <xdr:colOff>1419225</xdr:colOff>
      <xdr:row>7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27735"/>
          <a:ext cx="1285875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8</xdr:row>
      <xdr:rowOff>9525</xdr:rowOff>
    </xdr:from>
    <xdr:to>
      <xdr:col>0</xdr:col>
      <xdr:colOff>2124075</xdr:colOff>
      <xdr:row>10</xdr:row>
      <xdr:rowOff>57150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11605"/>
          <a:ext cx="203835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358140</xdr:colOff>
      <xdr:row>5</xdr:row>
      <xdr:rowOff>15240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5394960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sa\Desktop\CONSULTORIA%20AMBIENTAL%20-%20CLIENTES\PREFEITURA%20DE%20LAGOA%20DOS%20TRES%20CANTOS\PROJETO%20BASICO%20COLETA%20RSU%20DOMICILIAR\09%20PLANILHA%20CUSTOS\PLANILHA%20DE%20CUSTO%20-%20Lagoa%20dos%20Tres%20Cant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sa\Downloads\licitacoes_anexos_448_2375_16947135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oleta Domiciliar Seletiva"/>
      <sheetName val="2.Encargos Sociais"/>
      <sheetName val="4.BDI"/>
      <sheetName val="3.CAGED"/>
      <sheetName val="5. Depreciação"/>
      <sheetName val="6.Remuneração de capital"/>
      <sheetName val="7. Dimensionamento"/>
      <sheetName val="8. Roteiros"/>
      <sheetName val="9. Ton Quantitativo"/>
    </sheetNames>
    <sheetDataSet>
      <sheetData sheetId="0"/>
      <sheetData sheetId="1">
        <row r="36">
          <cell r="C36">
            <v>0.70595951999999995</v>
          </cell>
        </row>
      </sheetData>
      <sheetData sheetId="2"/>
      <sheetData sheetId="3"/>
      <sheetData sheetId="4">
        <row r="4">
          <cell r="A4">
            <v>1</v>
          </cell>
          <cell r="B4">
            <v>33.629999999999995</v>
          </cell>
        </row>
        <row r="5">
          <cell r="A5">
            <v>2</v>
          </cell>
          <cell r="B5">
            <v>43.13</v>
          </cell>
        </row>
        <row r="6">
          <cell r="A6">
            <v>3</v>
          </cell>
          <cell r="B6">
            <v>48.68</v>
          </cell>
        </row>
        <row r="7">
          <cell r="A7">
            <v>4</v>
          </cell>
          <cell r="B7">
            <v>52.62</v>
          </cell>
        </row>
        <row r="8">
          <cell r="A8">
            <v>5</v>
          </cell>
          <cell r="B8">
            <v>55.679999999999993</v>
          </cell>
        </row>
        <row r="9">
          <cell r="A9">
            <v>6</v>
          </cell>
          <cell r="B9">
            <v>58.18</v>
          </cell>
        </row>
        <row r="10">
          <cell r="A10">
            <v>7</v>
          </cell>
          <cell r="B10">
            <v>60.29</v>
          </cell>
        </row>
        <row r="11">
          <cell r="A11">
            <v>8</v>
          </cell>
          <cell r="B11">
            <v>62.12</v>
          </cell>
        </row>
        <row r="12">
          <cell r="A12">
            <v>9</v>
          </cell>
          <cell r="B12">
            <v>63.73</v>
          </cell>
        </row>
        <row r="13">
          <cell r="A13">
            <v>10</v>
          </cell>
          <cell r="B13">
            <v>65.180000000000007</v>
          </cell>
        </row>
        <row r="14">
          <cell r="A14">
            <v>11</v>
          </cell>
          <cell r="B14">
            <v>66.47999999999999</v>
          </cell>
        </row>
        <row r="15">
          <cell r="A15">
            <v>12</v>
          </cell>
          <cell r="B15">
            <v>67.67</v>
          </cell>
        </row>
        <row r="16">
          <cell r="A16">
            <v>13</v>
          </cell>
          <cell r="B16">
            <v>68.77</v>
          </cell>
        </row>
        <row r="17">
          <cell r="A17">
            <v>14</v>
          </cell>
          <cell r="B17">
            <v>69.789999999999992</v>
          </cell>
        </row>
        <row r="18">
          <cell r="A18">
            <v>15</v>
          </cell>
          <cell r="B18">
            <v>70.73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1. Coleta Orgânica"/>
      <sheetName val="2. Coleta Seletiva "/>
      <sheetName val="3. Destino Final"/>
      <sheetName val="4.Enc Sociais"/>
      <sheetName val="5.CAGED"/>
      <sheetName val="6.BDI"/>
      <sheetName val="6.1.BDI Aterro"/>
      <sheetName val="7. Ton"/>
      <sheetName val="8. Horários"/>
      <sheetName val="9. Roteiros"/>
      <sheetName val="10. Depr"/>
      <sheetName val="11. Rem capital"/>
      <sheetName val="12. Dimens"/>
    </sheetNames>
    <sheetDataSet>
      <sheetData sheetId="0"/>
      <sheetData sheetId="1"/>
      <sheetData sheetId="2"/>
      <sheetData sheetId="3"/>
      <sheetData sheetId="4"/>
      <sheetData sheetId="5">
        <row r="33">
          <cell r="C33">
            <v>360</v>
          </cell>
        </row>
        <row r="36">
          <cell r="C36">
            <v>30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9"/>
  <sheetViews>
    <sheetView tabSelected="1" topLeftCell="A235" zoomScaleNormal="100" workbookViewId="0">
      <selection activeCell="G260" sqref="G260"/>
    </sheetView>
  </sheetViews>
  <sheetFormatPr defaultColWidth="9.140625" defaultRowHeight="14.25" x14ac:dyDescent="0.25"/>
  <cols>
    <col min="1" max="1" width="47.42578125" style="2" customWidth="1"/>
    <col min="2" max="2" width="16" style="2" bestFit="1" customWidth="1"/>
    <col min="3" max="3" width="13.140625" style="2" bestFit="1" customWidth="1"/>
    <col min="4" max="4" width="18.7109375" style="1" bestFit="1" customWidth="1"/>
    <col min="5" max="5" width="17.28515625" style="1" bestFit="1" customWidth="1"/>
    <col min="6" max="6" width="13.28515625" style="1" customWidth="1"/>
    <col min="7" max="7" width="28.140625" style="1" customWidth="1"/>
    <col min="8" max="8" width="9.140625" style="2"/>
    <col min="9" max="9" width="14.5703125" style="2" customWidth="1"/>
    <col min="10" max="10" width="13.42578125" style="2" customWidth="1"/>
    <col min="11" max="16384" width="9.140625" style="2"/>
  </cols>
  <sheetData>
    <row r="1" spans="1:7" ht="13.15" customHeight="1" x14ac:dyDescent="0.25">
      <c r="A1" s="278" t="s">
        <v>157</v>
      </c>
      <c r="B1" s="279"/>
      <c r="C1" s="279"/>
      <c r="D1" s="279"/>
      <c r="E1" s="279"/>
      <c r="F1" s="280"/>
    </row>
    <row r="2" spans="1:7" ht="15" x14ac:dyDescent="0.25">
      <c r="A2" s="281" t="s">
        <v>294</v>
      </c>
      <c r="B2" s="282"/>
      <c r="C2" s="282"/>
      <c r="D2" s="282"/>
      <c r="E2" s="282"/>
      <c r="F2" s="283"/>
    </row>
    <row r="3" spans="1:7" ht="15" thickBot="1" x14ac:dyDescent="0.3">
      <c r="A3" s="292" t="s">
        <v>300</v>
      </c>
      <c r="B3" s="293"/>
      <c r="C3" s="293"/>
      <c r="D3" s="293"/>
      <c r="E3" s="293"/>
      <c r="F3" s="294"/>
    </row>
    <row r="4" spans="1:7" ht="15.75" thickBot="1" x14ac:dyDescent="0.3">
      <c r="A4" s="284" t="s">
        <v>0</v>
      </c>
      <c r="B4" s="285"/>
      <c r="C4" s="285"/>
      <c r="D4" s="285"/>
      <c r="E4" s="285"/>
      <c r="F4" s="286"/>
    </row>
    <row r="5" spans="1:7" ht="15" x14ac:dyDescent="0.25">
      <c r="A5" s="4" t="s">
        <v>1</v>
      </c>
      <c r="B5" s="5"/>
      <c r="C5" s="5"/>
      <c r="D5" s="6"/>
      <c r="E5" s="7" t="s">
        <v>2</v>
      </c>
      <c r="F5" s="8" t="s">
        <v>3</v>
      </c>
    </row>
    <row r="6" spans="1:7" s="15" customFormat="1" ht="15" x14ac:dyDescent="0.25">
      <c r="A6" s="9" t="str">
        <f>A42</f>
        <v>1. Mão-de-obra</v>
      </c>
      <c r="B6" s="10"/>
      <c r="C6" s="11"/>
      <c r="D6" s="11"/>
      <c r="E6" s="12">
        <f>+F92</f>
        <v>7938.3361040822656</v>
      </c>
      <c r="F6" s="13">
        <f t="shared" ref="F6:F25" si="0">IFERROR(E6/$E$26,0)</f>
        <v>0.15417097216571693</v>
      </c>
      <c r="G6" s="14"/>
    </row>
    <row r="7" spans="1:7" x14ac:dyDescent="0.25">
      <c r="A7" s="16" t="str">
        <f>A44</f>
        <v>1.1. Coletor Turno Dia</v>
      </c>
      <c r="B7" s="17"/>
      <c r="C7" s="18"/>
      <c r="D7" s="18"/>
      <c r="E7" s="19">
        <f>F55</f>
        <v>3204.4846711401874</v>
      </c>
      <c r="F7" s="20">
        <f t="shared" si="0"/>
        <v>6.2234517481032654E-2</v>
      </c>
    </row>
    <row r="8" spans="1:7" x14ac:dyDescent="0.25">
      <c r="A8" s="16" t="str">
        <f>A57</f>
        <v>1.2. Motorista Turno do Dia</v>
      </c>
      <c r="B8" s="17"/>
      <c r="C8" s="18"/>
      <c r="D8" s="18"/>
      <c r="E8" s="19">
        <f>F70</f>
        <v>3508.7002560190003</v>
      </c>
      <c r="F8" s="20">
        <f t="shared" si="0"/>
        <v>6.814270930533825E-2</v>
      </c>
    </row>
    <row r="9" spans="1:7" x14ac:dyDescent="0.25">
      <c r="A9" s="16" t="str">
        <f>A73</f>
        <v>1.3. Vale Transporte</v>
      </c>
      <c r="B9" s="17"/>
      <c r="C9" s="18"/>
      <c r="D9" s="18"/>
      <c r="E9" s="19">
        <f>F79</f>
        <v>255.60117692307699</v>
      </c>
      <c r="F9" s="20">
        <f t="shared" si="0"/>
        <v>4.9640480594752888E-3</v>
      </c>
    </row>
    <row r="10" spans="1:7" x14ac:dyDescent="0.25">
      <c r="A10" s="16" t="str">
        <f>A81</f>
        <v>1.4. Vale-refeição (diário)</v>
      </c>
      <c r="B10" s="17"/>
      <c r="C10" s="18"/>
      <c r="D10" s="18"/>
      <c r="E10" s="19">
        <f>F85</f>
        <v>844.2</v>
      </c>
      <c r="F10" s="20">
        <f t="shared" si="0"/>
        <v>1.6395266337408971E-2</v>
      </c>
    </row>
    <row r="11" spans="1:7" x14ac:dyDescent="0.25">
      <c r="A11" s="16" t="str">
        <f>A87</f>
        <v>1.5. Auxílio Alimentação (mensal)</v>
      </c>
      <c r="B11" s="17"/>
      <c r="C11" s="18"/>
      <c r="D11" s="18"/>
      <c r="E11" s="19">
        <f>F90</f>
        <v>125.35</v>
      </c>
      <c r="F11" s="20">
        <f t="shared" si="0"/>
        <v>2.4344309824617556E-3</v>
      </c>
    </row>
    <row r="12" spans="1:7" s="15" customFormat="1" ht="15" x14ac:dyDescent="0.25">
      <c r="A12" s="287" t="str">
        <f>A94</f>
        <v>2. Uniformes e Equipamentos de Proteção Individual</v>
      </c>
      <c r="B12" s="288"/>
      <c r="C12" s="288"/>
      <c r="D12" s="11"/>
      <c r="E12" s="12">
        <f>+F128</f>
        <v>254.39659500000002</v>
      </c>
      <c r="F12" s="13">
        <f t="shared" si="0"/>
        <v>4.9406537909914275E-3</v>
      </c>
      <c r="G12" s="14"/>
    </row>
    <row r="13" spans="1:7" s="15" customFormat="1" ht="15" x14ac:dyDescent="0.25">
      <c r="A13" s="21" t="str">
        <f>A130</f>
        <v>3. Veículos e Equipamentos</v>
      </c>
      <c r="B13" s="22"/>
      <c r="C13" s="11"/>
      <c r="D13" s="11"/>
      <c r="E13" s="12">
        <f>+F209</f>
        <v>23725.249852575758</v>
      </c>
      <c r="F13" s="13">
        <f t="shared" si="0"/>
        <v>0.46076971127049565</v>
      </c>
      <c r="G13" s="14"/>
    </row>
    <row r="14" spans="1:7" x14ac:dyDescent="0.25">
      <c r="A14" s="23" t="str">
        <f>A132</f>
        <v>3.1. Veículo Coletor Compactador xx m³</v>
      </c>
      <c r="B14" s="24"/>
      <c r="C14" s="18"/>
      <c r="D14" s="18"/>
      <c r="E14" s="19">
        <f>SUM(E15:E20)</f>
        <v>23725.249852575758</v>
      </c>
      <c r="F14" s="20">
        <f t="shared" si="0"/>
        <v>0.46076971127049565</v>
      </c>
    </row>
    <row r="15" spans="1:7" x14ac:dyDescent="0.25">
      <c r="A15" s="23" t="str">
        <f>A134</f>
        <v>3.1.1. Depreciação</v>
      </c>
      <c r="B15" s="24"/>
      <c r="C15" s="18"/>
      <c r="D15" s="18"/>
      <c r="E15" s="19">
        <f>F149</f>
        <v>3595.9999999999991</v>
      </c>
      <c r="F15" s="20">
        <f t="shared" si="0"/>
        <v>6.9838163645253068E-2</v>
      </c>
    </row>
    <row r="16" spans="1:7" x14ac:dyDescent="0.25">
      <c r="A16" s="23" t="str">
        <f>A151</f>
        <v>3.1.2. Remuneração do Capital</v>
      </c>
      <c r="B16" s="24"/>
      <c r="C16" s="18"/>
      <c r="D16" s="18"/>
      <c r="E16" s="19">
        <f>F166</f>
        <v>37.649499999999996</v>
      </c>
      <c r="F16" s="20">
        <f t="shared" si="0"/>
        <v>7.311935323031023E-4</v>
      </c>
    </row>
    <row r="17" spans="1:7" x14ac:dyDescent="0.25">
      <c r="A17" s="23" t="str">
        <f>A168</f>
        <v>3.1.3. Impostos e Seguros</v>
      </c>
      <c r="B17" s="24"/>
      <c r="C17" s="18"/>
      <c r="D17" s="18"/>
      <c r="E17" s="19">
        <f>F174</f>
        <v>465.83854166666669</v>
      </c>
      <c r="F17" s="20">
        <f t="shared" si="0"/>
        <v>9.047082398549143E-3</v>
      </c>
    </row>
    <row r="18" spans="1:7" x14ac:dyDescent="0.25">
      <c r="A18" s="23" t="str">
        <f>A176</f>
        <v>3.1.4. Consumos</v>
      </c>
      <c r="B18" s="24"/>
      <c r="C18" s="18"/>
      <c r="D18" s="18"/>
      <c r="E18" s="19">
        <f>F192</f>
        <v>12889.752010909089</v>
      </c>
      <c r="F18" s="20">
        <f t="shared" si="0"/>
        <v>0.25033276148070049</v>
      </c>
    </row>
    <row r="19" spans="1:7" x14ac:dyDescent="0.25">
      <c r="A19" s="23" t="str">
        <f>A194</f>
        <v>3.1.5. Manutenção</v>
      </c>
      <c r="B19" s="24"/>
      <c r="C19" s="18"/>
      <c r="D19" s="18"/>
      <c r="E19" s="19">
        <f>F197</f>
        <v>5926.4400000000005</v>
      </c>
      <c r="F19" s="20">
        <f t="shared" si="0"/>
        <v>0.11509779937535421</v>
      </c>
    </row>
    <row r="20" spans="1:7" x14ac:dyDescent="0.25">
      <c r="A20" s="23" t="str">
        <f>A199</f>
        <v>3.1.6. Pneus</v>
      </c>
      <c r="B20" s="24"/>
      <c r="C20" s="18"/>
      <c r="D20" s="18"/>
      <c r="E20" s="19">
        <f>F206</f>
        <v>809.56979999999999</v>
      </c>
      <c r="F20" s="20">
        <f t="shared" si="0"/>
        <v>1.57227108383356E-2</v>
      </c>
    </row>
    <row r="21" spans="1:7" s="15" customFormat="1" ht="15" x14ac:dyDescent="0.25">
      <c r="A21" s="21" t="str">
        <f>A211</f>
        <v>4. Ferramentas e Materiais de Consumo</v>
      </c>
      <c r="B21" s="22"/>
      <c r="C21" s="11"/>
      <c r="D21" s="11"/>
      <c r="E21" s="12">
        <f>+F219</f>
        <v>46.833333333333329</v>
      </c>
      <c r="F21" s="13">
        <f t="shared" si="0"/>
        <v>9.0955339193159602E-4</v>
      </c>
      <c r="G21" s="14"/>
    </row>
    <row r="22" spans="1:7" s="15" customFormat="1" ht="15" x14ac:dyDescent="0.25">
      <c r="A22" s="21" t="str">
        <f>A221</f>
        <v xml:space="preserve">5. Custos com administração </v>
      </c>
      <c r="B22" s="22"/>
      <c r="C22" s="11"/>
      <c r="D22" s="11"/>
      <c r="E22" s="12">
        <f>F226</f>
        <v>383.33333333333331</v>
      </c>
      <c r="F22" s="13">
        <f>IFERROR(E22/$E$26,0)</f>
        <v>7.4447430656322811E-3</v>
      </c>
      <c r="G22" s="14"/>
    </row>
    <row r="23" spans="1:7" s="15" customFormat="1" ht="15" x14ac:dyDescent="0.25">
      <c r="A23" s="21" t="str">
        <f>A230</f>
        <v>6. Monitoramento da Frota</v>
      </c>
      <c r="B23" s="22"/>
      <c r="C23" s="11"/>
      <c r="D23" s="11"/>
      <c r="E23" s="12">
        <f>+F237</f>
        <v>161.32499999999999</v>
      </c>
      <c r="F23" s="13">
        <f t="shared" si="0"/>
        <v>3.1331039349472897E-3</v>
      </c>
      <c r="G23" s="14"/>
    </row>
    <row r="24" spans="1:7" s="15" customFormat="1" ht="15" x14ac:dyDescent="0.25">
      <c r="A24" s="21" t="str">
        <f>A241</f>
        <v xml:space="preserve">7. Destinação Final dos Resíduos e Rejeitos </v>
      </c>
      <c r="B24" s="22"/>
      <c r="C24" s="11"/>
      <c r="D24" s="11"/>
      <c r="E24" s="25">
        <f>F247</f>
        <v>8695</v>
      </c>
      <c r="F24" s="13">
        <f>IFERROR(E24/$E$26,0)</f>
        <v>0.168866193797407</v>
      </c>
      <c r="G24" s="14"/>
    </row>
    <row r="25" spans="1:7" s="15" customFormat="1" ht="15.75" thickBot="1" x14ac:dyDescent="0.3">
      <c r="A25" s="21" t="str">
        <f>A249</f>
        <v>8. Benefícios e Despesas Indiretas - BDI</v>
      </c>
      <c r="B25" s="22"/>
      <c r="C25" s="11"/>
      <c r="D25" s="11"/>
      <c r="E25" s="26">
        <f>+F255</f>
        <v>10285.997642677932</v>
      </c>
      <c r="F25" s="13">
        <f t="shared" si="0"/>
        <v>0.1997650685828779</v>
      </c>
      <c r="G25" s="14"/>
    </row>
    <row r="26" spans="1:7" ht="15.75" thickBot="1" x14ac:dyDescent="0.3">
      <c r="A26" s="27" t="s">
        <v>4</v>
      </c>
      <c r="B26" s="28"/>
      <c r="C26" s="29"/>
      <c r="D26" s="29"/>
      <c r="E26" s="30">
        <f>E6+E12+E13+E21+E22+E23+E24+E25</f>
        <v>51490.471861002618</v>
      </c>
      <c r="F26" s="31">
        <f>F6+F12+F13+F21+F23+F25+F22+F24</f>
        <v>1</v>
      </c>
    </row>
    <row r="28" spans="1:7" ht="15" thickBot="1" x14ac:dyDescent="0.3"/>
    <row r="29" spans="1:7" ht="15.75" thickBot="1" x14ac:dyDescent="0.3">
      <c r="A29" s="284" t="s">
        <v>5</v>
      </c>
      <c r="B29" s="285"/>
      <c r="C29" s="285"/>
      <c r="D29" s="285"/>
      <c r="E29" s="286"/>
    </row>
    <row r="30" spans="1:7" ht="15.75" thickBot="1" x14ac:dyDescent="0.3">
      <c r="A30" s="289" t="s">
        <v>6</v>
      </c>
      <c r="B30" s="290"/>
      <c r="C30" s="290"/>
      <c r="D30" s="291"/>
      <c r="E30" s="32" t="s">
        <v>7</v>
      </c>
    </row>
    <row r="31" spans="1:7" x14ac:dyDescent="0.25">
      <c r="A31" s="33" t="str">
        <f>+A44</f>
        <v>1.1. Coletor Turno Dia</v>
      </c>
      <c r="B31" s="5"/>
      <c r="C31" s="5"/>
      <c r="D31" s="34"/>
      <c r="E31" s="35">
        <v>2</v>
      </c>
    </row>
    <row r="32" spans="1:7" x14ac:dyDescent="0.25">
      <c r="A32" s="16" t="str">
        <f>+A57</f>
        <v>1.2. Motorista Turno do Dia</v>
      </c>
      <c r="B32" s="18"/>
      <c r="C32" s="18"/>
      <c r="D32" s="36"/>
      <c r="E32" s="37">
        <v>1</v>
      </c>
    </row>
    <row r="33" spans="1:7" ht="15.75" thickBot="1" x14ac:dyDescent="0.3">
      <c r="A33" s="38" t="s">
        <v>8</v>
      </c>
      <c r="B33" s="39"/>
      <c r="C33" s="39"/>
      <c r="D33" s="40"/>
      <c r="E33" s="41">
        <f>SUM(E31:E32)</f>
        <v>3</v>
      </c>
    </row>
    <row r="34" spans="1:7" ht="15.75" thickBot="1" x14ac:dyDescent="0.3">
      <c r="A34" s="42"/>
      <c r="B34" s="43"/>
      <c r="C34" s="44"/>
      <c r="D34" s="44"/>
      <c r="E34" s="45"/>
    </row>
    <row r="35" spans="1:7" ht="15" x14ac:dyDescent="0.25">
      <c r="A35" s="276" t="s">
        <v>9</v>
      </c>
      <c r="B35" s="277"/>
      <c r="C35" s="277"/>
      <c r="D35" s="277"/>
      <c r="E35" s="32" t="s">
        <v>7</v>
      </c>
      <c r="F35" s="2"/>
    </row>
    <row r="36" spans="1:7" ht="15" thickBot="1" x14ac:dyDescent="0.3">
      <c r="A36" s="46" t="str">
        <f>+A132</f>
        <v>3.1. Veículo Coletor Compactador xx m³</v>
      </c>
      <c r="B36" s="47"/>
      <c r="C36" s="47"/>
      <c r="D36" s="48"/>
      <c r="E36" s="49">
        <v>1</v>
      </c>
      <c r="F36" s="2"/>
    </row>
    <row r="37" spans="1:7" x14ac:dyDescent="0.25">
      <c r="A37" s="44"/>
      <c r="B37" s="44"/>
      <c r="C37" s="44"/>
      <c r="D37" s="2"/>
      <c r="E37" s="50"/>
      <c r="F37" s="2"/>
    </row>
    <row r="38" spans="1:7" ht="15" thickBot="1" x14ac:dyDescent="0.3">
      <c r="A38" s="44"/>
      <c r="B38" s="44"/>
      <c r="C38" s="44"/>
      <c r="D38" s="2"/>
      <c r="E38" s="51"/>
      <c r="F38" s="2"/>
    </row>
    <row r="39" spans="1:7" s="15" customFormat="1" ht="15.75" thickBot="1" x14ac:dyDescent="0.3">
      <c r="A39" s="52" t="s">
        <v>10</v>
      </c>
      <c r="B39" s="270">
        <v>0.36930000000000002</v>
      </c>
      <c r="C39" s="53" t="s">
        <v>298</v>
      </c>
      <c r="E39" s="54"/>
      <c r="G39" s="14"/>
    </row>
    <row r="40" spans="1:7" ht="15.75" thickBot="1" x14ac:dyDescent="0.3">
      <c r="A40" s="52" t="s">
        <v>10</v>
      </c>
      <c r="B40" s="271">
        <v>0.625</v>
      </c>
      <c r="C40" s="53" t="s">
        <v>299</v>
      </c>
      <c r="D40" s="2"/>
      <c r="E40" s="51"/>
      <c r="F40" s="2"/>
    </row>
    <row r="41" spans="1:7" ht="15" x14ac:dyDescent="0.25">
      <c r="A41" s="53"/>
      <c r="B41" s="53"/>
      <c r="C41" s="53"/>
      <c r="D41" s="2"/>
      <c r="E41" s="51"/>
      <c r="F41" s="2"/>
    </row>
    <row r="42" spans="1:7" ht="15" x14ac:dyDescent="0.25">
      <c r="A42" s="15" t="s">
        <v>11</v>
      </c>
    </row>
    <row r="44" spans="1:7" ht="15" thickBot="1" x14ac:dyDescent="0.3">
      <c r="A44" s="2" t="s">
        <v>12</v>
      </c>
    </row>
    <row r="45" spans="1:7" ht="15.75" thickBot="1" x14ac:dyDescent="0.3">
      <c r="A45" s="55" t="s">
        <v>13</v>
      </c>
      <c r="B45" s="56" t="s">
        <v>14</v>
      </c>
      <c r="C45" s="56" t="s">
        <v>7</v>
      </c>
      <c r="D45" s="57" t="s">
        <v>15</v>
      </c>
      <c r="E45" s="57" t="s">
        <v>16</v>
      </c>
      <c r="F45" s="58" t="s">
        <v>17</v>
      </c>
    </row>
    <row r="46" spans="1:7" ht="15" x14ac:dyDescent="0.25">
      <c r="A46" s="59" t="s">
        <v>18</v>
      </c>
      <c r="B46" s="60" t="s">
        <v>19</v>
      </c>
      <c r="C46" s="60">
        <v>1</v>
      </c>
      <c r="D46" s="61">
        <v>1816.57</v>
      </c>
      <c r="E46" s="62">
        <f>C46*D46</f>
        <v>1816.57</v>
      </c>
    </row>
    <row r="47" spans="1:7" x14ac:dyDescent="0.25">
      <c r="A47" s="63" t="s">
        <v>20</v>
      </c>
      <c r="B47" s="64" t="s">
        <v>21</v>
      </c>
      <c r="C47" s="65"/>
      <c r="D47" s="66"/>
      <c r="E47" s="66">
        <f>C47*D47</f>
        <v>0</v>
      </c>
    </row>
    <row r="48" spans="1:7" ht="15" x14ac:dyDescent="0.25">
      <c r="A48" s="63" t="s">
        <v>22</v>
      </c>
      <c r="B48" s="64" t="s">
        <v>21</v>
      </c>
      <c r="C48" s="67"/>
      <c r="D48" s="66"/>
      <c r="E48" s="66">
        <f>C48*D48</f>
        <v>0</v>
      </c>
    </row>
    <row r="49" spans="1:6" x14ac:dyDescent="0.25">
      <c r="A49" s="63" t="s">
        <v>23</v>
      </c>
      <c r="B49" s="64" t="s">
        <v>24</v>
      </c>
      <c r="D49" s="66">
        <f>63/302*(SUM(E47:E48))</f>
        <v>0</v>
      </c>
      <c r="E49" s="66">
        <f>D49</f>
        <v>0</v>
      </c>
    </row>
    <row r="50" spans="1:6" x14ac:dyDescent="0.25">
      <c r="A50" s="63" t="s">
        <v>25</v>
      </c>
      <c r="B50" s="64" t="s">
        <v>3</v>
      </c>
      <c r="C50" s="64">
        <v>40</v>
      </c>
      <c r="D50" s="68">
        <f>SUM(E46:E49)</f>
        <v>1816.57</v>
      </c>
      <c r="E50" s="66">
        <f>C50*D50/100</f>
        <v>726.62800000000004</v>
      </c>
    </row>
    <row r="51" spans="1:6" ht="15" x14ac:dyDescent="0.25">
      <c r="A51" s="69" t="s">
        <v>26</v>
      </c>
      <c r="B51" s="70"/>
      <c r="C51" s="70"/>
      <c r="D51" s="71"/>
      <c r="E51" s="72">
        <f>SUM(E46:E50)</f>
        <v>2543.1979999999999</v>
      </c>
    </row>
    <row r="52" spans="1:6" x14ac:dyDescent="0.25">
      <c r="A52" s="63" t="s">
        <v>27</v>
      </c>
      <c r="B52" s="64" t="s">
        <v>3</v>
      </c>
      <c r="C52" s="73">
        <f>'[1]2.Encargos Sociais'!$C$36*100</f>
        <v>70.595951999999997</v>
      </c>
      <c r="D52" s="66">
        <f>E51</f>
        <v>2543.1979999999999</v>
      </c>
      <c r="E52" s="66">
        <f>D52*C52/100</f>
        <v>1795.3948393449598</v>
      </c>
    </row>
    <row r="53" spans="1:6" ht="15" x14ac:dyDescent="0.25">
      <c r="A53" s="69" t="s">
        <v>28</v>
      </c>
      <c r="B53" s="70"/>
      <c r="C53" s="70"/>
      <c r="D53" s="71"/>
      <c r="E53" s="72">
        <f>E51+E52</f>
        <v>4338.5928393449594</v>
      </c>
    </row>
    <row r="54" spans="1:6" ht="15.75" thickBot="1" x14ac:dyDescent="0.3">
      <c r="A54" s="63" t="s">
        <v>29</v>
      </c>
      <c r="B54" s="64" t="s">
        <v>30</v>
      </c>
      <c r="C54" s="77">
        <f>E31</f>
        <v>2</v>
      </c>
      <c r="D54" s="66">
        <f>E53</f>
        <v>4338.5928393449594</v>
      </c>
      <c r="E54" s="66">
        <f>C54*D54</f>
        <v>8677.1856786899189</v>
      </c>
    </row>
    <row r="55" spans="1:6" ht="15.75" thickBot="1" x14ac:dyDescent="0.3">
      <c r="D55" s="74" t="s">
        <v>31</v>
      </c>
      <c r="E55" s="268">
        <f>B39</f>
        <v>0.36930000000000002</v>
      </c>
      <c r="F55" s="76">
        <f>E54*E55</f>
        <v>3204.4846711401874</v>
      </c>
    </row>
    <row r="57" spans="1:6" ht="15" thickBot="1" x14ac:dyDescent="0.3">
      <c r="A57" s="2" t="s">
        <v>32</v>
      </c>
    </row>
    <row r="58" spans="1:6" ht="15.75" thickBot="1" x14ac:dyDescent="0.3">
      <c r="A58" s="55" t="s">
        <v>13</v>
      </c>
      <c r="B58" s="56" t="s">
        <v>14</v>
      </c>
      <c r="C58" s="56" t="s">
        <v>7</v>
      </c>
      <c r="D58" s="57" t="s">
        <v>15</v>
      </c>
      <c r="E58" s="57" t="s">
        <v>16</v>
      </c>
      <c r="F58" s="58" t="s">
        <v>17</v>
      </c>
    </row>
    <row r="59" spans="1:6" ht="15" x14ac:dyDescent="0.25">
      <c r="A59" s="59" t="s">
        <v>33</v>
      </c>
      <c r="B59" s="60" t="s">
        <v>19</v>
      </c>
      <c r="C59" s="60">
        <v>1</v>
      </c>
      <c r="D59" s="61">
        <v>2350.5500000000002</v>
      </c>
      <c r="E59" s="62">
        <f>C59*D59</f>
        <v>2350.5500000000002</v>
      </c>
    </row>
    <row r="60" spans="1:6" ht="15" x14ac:dyDescent="0.25">
      <c r="A60" s="59" t="s">
        <v>34</v>
      </c>
      <c r="B60" s="60" t="s">
        <v>19</v>
      </c>
      <c r="C60" s="60">
        <v>1</v>
      </c>
      <c r="D60" s="269">
        <v>1412</v>
      </c>
      <c r="E60" s="62"/>
    </row>
    <row r="61" spans="1:6" x14ac:dyDescent="0.25">
      <c r="A61" s="63" t="s">
        <v>20</v>
      </c>
      <c r="B61" s="64" t="s">
        <v>21</v>
      </c>
      <c r="C61" s="65"/>
      <c r="D61" s="66">
        <f>D59/220*2</f>
        <v>21.368636363636366</v>
      </c>
      <c r="E61" s="66">
        <f>C61*D61</f>
        <v>0</v>
      </c>
    </row>
    <row r="62" spans="1:6" x14ac:dyDescent="0.25">
      <c r="A62" s="63" t="s">
        <v>22</v>
      </c>
      <c r="B62" s="64" t="s">
        <v>21</v>
      </c>
      <c r="C62" s="65"/>
      <c r="D62" s="66">
        <f>D59/220*1.5</f>
        <v>16.026477272727274</v>
      </c>
      <c r="E62" s="66">
        <f>C62*D62</f>
        <v>0</v>
      </c>
    </row>
    <row r="63" spans="1:6" x14ac:dyDescent="0.25">
      <c r="A63" s="63" t="s">
        <v>23</v>
      </c>
      <c r="B63" s="64" t="s">
        <v>24</v>
      </c>
      <c r="D63" s="66">
        <f>63/302*(SUM(E61:E62))</f>
        <v>0</v>
      </c>
      <c r="E63" s="66">
        <f>D63</f>
        <v>0</v>
      </c>
    </row>
    <row r="64" spans="1:6" ht="15" x14ac:dyDescent="0.25">
      <c r="A64" s="63" t="s">
        <v>35</v>
      </c>
      <c r="B64" s="64"/>
      <c r="C64" s="77">
        <v>2</v>
      </c>
      <c r="D64" s="66"/>
      <c r="E64" s="66"/>
    </row>
    <row r="65" spans="1:7" x14ac:dyDescent="0.25">
      <c r="A65" s="63" t="s">
        <v>25</v>
      </c>
      <c r="B65" s="64" t="s">
        <v>3</v>
      </c>
      <c r="C65" s="78">
        <v>40</v>
      </c>
      <c r="D65" s="79">
        <f>D59</f>
        <v>2350.5500000000002</v>
      </c>
      <c r="E65" s="66">
        <f>C65*D65/100</f>
        <v>940.22</v>
      </c>
    </row>
    <row r="66" spans="1:7" s="15" customFormat="1" ht="15" x14ac:dyDescent="0.25">
      <c r="A66" s="80" t="s">
        <v>26</v>
      </c>
      <c r="B66" s="70"/>
      <c r="C66" s="70"/>
      <c r="D66" s="71"/>
      <c r="E66" s="81">
        <f>SUM(E59:E65)</f>
        <v>3290.7700000000004</v>
      </c>
      <c r="F66" s="14"/>
      <c r="G66" s="14"/>
    </row>
    <row r="67" spans="1:7" x14ac:dyDescent="0.25">
      <c r="A67" s="63" t="s">
        <v>27</v>
      </c>
      <c r="B67" s="64" t="s">
        <v>3</v>
      </c>
      <c r="C67" s="82">
        <f>'[1]2.Encargos Sociais'!C36</f>
        <v>0.70595951999999995</v>
      </c>
      <c r="D67" s="66">
        <f>E66</f>
        <v>3290.7700000000004</v>
      </c>
      <c r="E67" s="66">
        <f>D67*C67</f>
        <v>2323.1504096304002</v>
      </c>
    </row>
    <row r="68" spans="1:7" s="15" customFormat="1" ht="15" x14ac:dyDescent="0.25">
      <c r="A68" s="80" t="s">
        <v>36</v>
      </c>
      <c r="B68" s="83"/>
      <c r="C68" s="83"/>
      <c r="D68" s="84"/>
      <c r="E68" s="81">
        <f>E66+E67</f>
        <v>5613.9204096304002</v>
      </c>
      <c r="F68" s="14"/>
      <c r="G68" s="14"/>
    </row>
    <row r="69" spans="1:7" ht="15" thickBot="1" x14ac:dyDescent="0.3">
      <c r="A69" s="63" t="s">
        <v>29</v>
      </c>
      <c r="B69" s="64" t="s">
        <v>30</v>
      </c>
      <c r="C69" s="78">
        <v>1</v>
      </c>
      <c r="D69" s="66">
        <f>E68</f>
        <v>5613.9204096304002</v>
      </c>
      <c r="E69" s="66">
        <f>C69*D69</f>
        <v>5613.9204096304002</v>
      </c>
    </row>
    <row r="70" spans="1:7" ht="15.75" thickBot="1" x14ac:dyDescent="0.3">
      <c r="D70" s="74" t="s">
        <v>31</v>
      </c>
      <c r="E70" s="268">
        <f>B40</f>
        <v>0.625</v>
      </c>
      <c r="F70" s="76">
        <f>E69*E70</f>
        <v>3508.7002560190003</v>
      </c>
    </row>
    <row r="71" spans="1:7" x14ac:dyDescent="0.25">
      <c r="D71" s="74"/>
      <c r="E71" s="44"/>
      <c r="F71" s="44"/>
    </row>
    <row r="72" spans="1:7" x14ac:dyDescent="0.25">
      <c r="G72" s="2"/>
    </row>
    <row r="73" spans="1:7" ht="15" thickBot="1" x14ac:dyDescent="0.3">
      <c r="A73" s="2" t="s">
        <v>37</v>
      </c>
      <c r="B73" s="85"/>
      <c r="D73" s="2"/>
      <c r="E73" s="2"/>
      <c r="G73" s="2"/>
    </row>
    <row r="74" spans="1:7" ht="15.75" thickBot="1" x14ac:dyDescent="0.3">
      <c r="A74" s="55" t="s">
        <v>13</v>
      </c>
      <c r="B74" s="56" t="s">
        <v>14</v>
      </c>
      <c r="C74" s="56" t="s">
        <v>7</v>
      </c>
      <c r="D74" s="57" t="s">
        <v>15</v>
      </c>
      <c r="E74" s="57" t="s">
        <v>16</v>
      </c>
      <c r="F74" s="58" t="s">
        <v>17</v>
      </c>
      <c r="G74" s="2"/>
    </row>
    <row r="75" spans="1:7" x14ac:dyDescent="0.25">
      <c r="A75" s="63" t="s">
        <v>38</v>
      </c>
      <c r="B75" s="64" t="s">
        <v>24</v>
      </c>
      <c r="C75" s="86">
        <v>1</v>
      </c>
      <c r="D75" s="87">
        <v>4.33</v>
      </c>
      <c r="E75" s="66"/>
      <c r="G75" s="2"/>
    </row>
    <row r="76" spans="1:7" x14ac:dyDescent="0.25">
      <c r="A76" s="63" t="s">
        <v>39</v>
      </c>
      <c r="B76" s="64" t="s">
        <v>40</v>
      </c>
      <c r="C76" s="88">
        <v>21</v>
      </c>
      <c r="D76" s="66"/>
      <c r="E76" s="66"/>
      <c r="G76" s="2"/>
    </row>
    <row r="77" spans="1:7" x14ac:dyDescent="0.25">
      <c r="A77" s="63" t="s">
        <v>41</v>
      </c>
      <c r="B77" s="64" t="s">
        <v>42</v>
      </c>
      <c r="C77" s="89">
        <f>C54*C76*2</f>
        <v>84</v>
      </c>
      <c r="D77" s="62">
        <f>IFERROR((($C$76*2*$D$75)-(E46*0.06*C76/26))/($C$76*2),"-")</f>
        <v>2.2339576923076927</v>
      </c>
      <c r="E77" s="66">
        <f>IFERROR(C77*D77,"-")</f>
        <v>187.6524461538462</v>
      </c>
      <c r="G77" s="2"/>
    </row>
    <row r="78" spans="1:7" ht="15" thickBot="1" x14ac:dyDescent="0.3">
      <c r="A78" s="59" t="s">
        <v>43</v>
      </c>
      <c r="B78" s="60" t="s">
        <v>42</v>
      </c>
      <c r="C78" s="89">
        <f>$C$76*2*(C69)</f>
        <v>42</v>
      </c>
      <c r="D78" s="62">
        <f>IFERROR((($C$76*2*$D$75)-(E59*0.06*C76/26))/($C$76*2),"-")</f>
        <v>1.6178269230769233</v>
      </c>
      <c r="E78" s="62">
        <f>IFERROR(C78*D78,"-")</f>
        <v>67.948730769230778</v>
      </c>
      <c r="G78" s="2"/>
    </row>
    <row r="79" spans="1:7" ht="15.75" thickBot="1" x14ac:dyDescent="0.3">
      <c r="F79" s="90">
        <f>SUM(E77:E78)</f>
        <v>255.60117692307699</v>
      </c>
      <c r="G79" s="2"/>
    </row>
    <row r="80" spans="1:7" x14ac:dyDescent="0.25">
      <c r="G80" s="2"/>
    </row>
    <row r="81" spans="1:7" ht="15.75" thickBot="1" x14ac:dyDescent="0.3">
      <c r="A81" s="2" t="s">
        <v>44</v>
      </c>
      <c r="F81" s="91"/>
      <c r="G81" s="2"/>
    </row>
    <row r="82" spans="1:7" ht="15.75" thickBot="1" x14ac:dyDescent="0.3">
      <c r="A82" s="55" t="s">
        <v>13</v>
      </c>
      <c r="B82" s="56" t="s">
        <v>14</v>
      </c>
      <c r="C82" s="56" t="s">
        <v>7</v>
      </c>
      <c r="D82" s="57" t="s">
        <v>15</v>
      </c>
      <c r="E82" s="57" t="s">
        <v>16</v>
      </c>
      <c r="F82" s="58" t="s">
        <v>17</v>
      </c>
      <c r="G82" s="2"/>
    </row>
    <row r="83" spans="1:7" ht="15" x14ac:dyDescent="0.25">
      <c r="A83" s="63" t="str">
        <f>+A77</f>
        <v>Coletor</v>
      </c>
      <c r="B83" s="64" t="s">
        <v>45</v>
      </c>
      <c r="C83" s="92">
        <f>C76*(E31)</f>
        <v>42</v>
      </c>
      <c r="D83" s="93">
        <v>11.84</v>
      </c>
      <c r="E83" s="75">
        <f>C83*D83</f>
        <v>497.28</v>
      </c>
      <c r="F83" s="91"/>
      <c r="G83" s="2"/>
    </row>
    <row r="84" spans="1:7" ht="15.75" thickBot="1" x14ac:dyDescent="0.3">
      <c r="A84" s="63" t="str">
        <f>+A78</f>
        <v>Motorista</v>
      </c>
      <c r="B84" s="64" t="s">
        <v>45</v>
      </c>
      <c r="C84" s="92">
        <f>C76*(E32)</f>
        <v>21</v>
      </c>
      <c r="D84" s="93">
        <v>16.52</v>
      </c>
      <c r="E84" s="75">
        <f>C84*D84</f>
        <v>346.92</v>
      </c>
      <c r="F84" s="91"/>
      <c r="G84" s="2"/>
    </row>
    <row r="85" spans="1:7" ht="15.75" thickBot="1" x14ac:dyDescent="0.3">
      <c r="F85" s="90">
        <f>SUM(E83:E84)</f>
        <v>844.2</v>
      </c>
      <c r="G85" s="2"/>
    </row>
    <row r="86" spans="1:7" x14ac:dyDescent="0.25">
      <c r="G86" s="2"/>
    </row>
    <row r="87" spans="1:7" ht="15.75" thickBot="1" x14ac:dyDescent="0.3">
      <c r="A87" s="2" t="s">
        <v>46</v>
      </c>
      <c r="F87" s="91"/>
      <c r="G87" s="2"/>
    </row>
    <row r="88" spans="1:7" ht="15.75" thickBot="1" x14ac:dyDescent="0.3">
      <c r="A88" s="55" t="s">
        <v>13</v>
      </c>
      <c r="B88" s="56" t="s">
        <v>14</v>
      </c>
      <c r="C88" s="56" t="s">
        <v>7</v>
      </c>
      <c r="D88" s="57" t="s">
        <v>15</v>
      </c>
      <c r="E88" s="57" t="s">
        <v>16</v>
      </c>
      <c r="F88" s="58" t="s">
        <v>17</v>
      </c>
      <c r="G88" s="2"/>
    </row>
    <row r="89" spans="1:7" ht="15.75" thickBot="1" x14ac:dyDescent="0.3">
      <c r="A89" s="63" t="str">
        <f>+A84</f>
        <v>Motorista</v>
      </c>
      <c r="B89" s="64" t="s">
        <v>45</v>
      </c>
      <c r="C89" s="92">
        <f>E32</f>
        <v>1</v>
      </c>
      <c r="D89" s="93">
        <v>125.35</v>
      </c>
      <c r="E89" s="75">
        <f>D89</f>
        <v>125.35</v>
      </c>
      <c r="F89" s="91"/>
      <c r="G89" s="2"/>
    </row>
    <row r="90" spans="1:7" ht="15.75" thickBot="1" x14ac:dyDescent="0.3">
      <c r="D90" s="2"/>
      <c r="E90" s="2"/>
      <c r="F90" s="90">
        <f>D89</f>
        <v>125.35</v>
      </c>
      <c r="G90" s="2"/>
    </row>
    <row r="91" spans="1:7" ht="15" thickBot="1" x14ac:dyDescent="0.3">
      <c r="G91" s="2"/>
    </row>
    <row r="92" spans="1:7" ht="15.75" thickBot="1" x14ac:dyDescent="0.3">
      <c r="A92" s="94" t="s">
        <v>47</v>
      </c>
      <c r="B92" s="95"/>
      <c r="C92" s="95"/>
      <c r="D92" s="29"/>
      <c r="E92" s="96"/>
      <c r="F92" s="90">
        <f>F90+F85+F79+F70+F55</f>
        <v>7938.3361040822656</v>
      </c>
      <c r="G92" s="2"/>
    </row>
    <row r="94" spans="1:7" ht="15" x14ac:dyDescent="0.25">
      <c r="A94" s="15" t="s">
        <v>48</v>
      </c>
      <c r="G94" s="2"/>
    </row>
    <row r="95" spans="1:7" x14ac:dyDescent="0.25">
      <c r="G95" s="2"/>
    </row>
    <row r="96" spans="1:7" x14ac:dyDescent="0.25">
      <c r="A96" s="2" t="s">
        <v>49</v>
      </c>
      <c r="G96" s="2"/>
    </row>
    <row r="97" spans="1:7" ht="15" thickBot="1" x14ac:dyDescent="0.3">
      <c r="G97" s="2"/>
    </row>
    <row r="98" spans="1:7" ht="30.75" thickBot="1" x14ac:dyDescent="0.3">
      <c r="A98" s="55" t="s">
        <v>13</v>
      </c>
      <c r="B98" s="56" t="s">
        <v>14</v>
      </c>
      <c r="C98" s="97" t="s">
        <v>50</v>
      </c>
      <c r="D98" s="57" t="s">
        <v>15</v>
      </c>
      <c r="E98" s="57" t="s">
        <v>16</v>
      </c>
      <c r="F98" s="58" t="s">
        <v>17</v>
      </c>
      <c r="G98" s="2"/>
    </row>
    <row r="99" spans="1:7" x14ac:dyDescent="0.25">
      <c r="A99" s="59" t="s">
        <v>51</v>
      </c>
      <c r="B99" s="60" t="s">
        <v>45</v>
      </c>
      <c r="C99" s="98">
        <v>6</v>
      </c>
      <c r="D99" s="99">
        <v>145</v>
      </c>
      <c r="E99" s="62">
        <f>IFERROR(D99/C99,0)</f>
        <v>24.166666666666668</v>
      </c>
      <c r="G99" s="2"/>
    </row>
    <row r="100" spans="1:7" x14ac:dyDescent="0.25">
      <c r="A100" s="63" t="s">
        <v>52</v>
      </c>
      <c r="B100" s="64" t="s">
        <v>45</v>
      </c>
      <c r="C100" s="98">
        <v>4</v>
      </c>
      <c r="D100" s="99">
        <v>62.5</v>
      </c>
      <c r="E100" s="62">
        <f>IFERROR(D100/C100,0)</f>
        <v>15.625</v>
      </c>
      <c r="G100" s="2"/>
    </row>
    <row r="101" spans="1:7" x14ac:dyDescent="0.25">
      <c r="A101" s="63" t="s">
        <v>53</v>
      </c>
      <c r="B101" s="64" t="s">
        <v>45</v>
      </c>
      <c r="C101" s="98">
        <v>4</v>
      </c>
      <c r="D101" s="99">
        <v>37</v>
      </c>
      <c r="E101" s="62">
        <f>IFERROR(D101/C101,0)</f>
        <v>9.25</v>
      </c>
      <c r="G101" s="2"/>
    </row>
    <row r="102" spans="1:7" x14ac:dyDescent="0.25">
      <c r="A102" s="63" t="s">
        <v>54</v>
      </c>
      <c r="B102" s="64" t="s">
        <v>45</v>
      </c>
      <c r="C102" s="98">
        <v>4</v>
      </c>
      <c r="D102" s="99">
        <v>24.9</v>
      </c>
      <c r="E102" s="62">
        <f t="shared" ref="E102:E110" si="1">IFERROR(D102/C102,0)</f>
        <v>6.2249999999999996</v>
      </c>
      <c r="G102" s="2"/>
    </row>
    <row r="103" spans="1:7" x14ac:dyDescent="0.25">
      <c r="A103" s="63" t="s">
        <v>55</v>
      </c>
      <c r="B103" s="64" t="s">
        <v>45</v>
      </c>
      <c r="C103" s="98">
        <v>4</v>
      </c>
      <c r="D103" s="99">
        <v>41.5</v>
      </c>
      <c r="E103" s="62">
        <f>IFERROR(D103/C103,0)</f>
        <v>10.375</v>
      </c>
      <c r="G103" s="2"/>
    </row>
    <row r="104" spans="1:7" x14ac:dyDescent="0.25">
      <c r="A104" s="63" t="s">
        <v>56</v>
      </c>
      <c r="B104" s="64" t="s">
        <v>45</v>
      </c>
      <c r="C104" s="98">
        <v>6</v>
      </c>
      <c r="D104" s="99">
        <v>13.8</v>
      </c>
      <c r="E104" s="62">
        <f t="shared" si="1"/>
        <v>2.3000000000000003</v>
      </c>
      <c r="G104" s="2"/>
    </row>
    <row r="105" spans="1:7" x14ac:dyDescent="0.25">
      <c r="A105" s="63" t="s">
        <v>57</v>
      </c>
      <c r="B105" s="64" t="s">
        <v>58</v>
      </c>
      <c r="C105" s="98">
        <v>6</v>
      </c>
      <c r="D105" s="99">
        <v>70</v>
      </c>
      <c r="E105" s="62">
        <f t="shared" si="1"/>
        <v>11.666666666666666</v>
      </c>
      <c r="G105" s="2"/>
    </row>
    <row r="106" spans="1:7" x14ac:dyDescent="0.25">
      <c r="A106" s="63" t="s">
        <v>59</v>
      </c>
      <c r="B106" s="64" t="s">
        <v>58</v>
      </c>
      <c r="C106" s="98">
        <v>3</v>
      </c>
      <c r="D106" s="99">
        <v>17.899999999999999</v>
      </c>
      <c r="E106" s="62">
        <f t="shared" si="1"/>
        <v>5.9666666666666659</v>
      </c>
    </row>
    <row r="107" spans="1:7" x14ac:dyDescent="0.25">
      <c r="A107" s="63" t="s">
        <v>60</v>
      </c>
      <c r="B107" s="64" t="s">
        <v>45</v>
      </c>
      <c r="C107" s="98">
        <v>2</v>
      </c>
      <c r="D107" s="99">
        <v>35.700000000000003</v>
      </c>
      <c r="E107" s="62">
        <f t="shared" si="1"/>
        <v>17.850000000000001</v>
      </c>
    </row>
    <row r="108" spans="1:7" s="103" customFormat="1" x14ac:dyDescent="0.2">
      <c r="A108" s="100" t="s">
        <v>61</v>
      </c>
      <c r="B108" s="101" t="s">
        <v>45</v>
      </c>
      <c r="C108" s="98">
        <v>3</v>
      </c>
      <c r="D108" s="99">
        <v>16.5</v>
      </c>
      <c r="E108" s="62">
        <f t="shared" si="1"/>
        <v>5.5</v>
      </c>
      <c r="F108" s="102"/>
      <c r="G108" s="102"/>
    </row>
    <row r="109" spans="1:7" x14ac:dyDescent="0.25">
      <c r="A109" s="63" t="s">
        <v>62</v>
      </c>
      <c r="B109" s="64" t="s">
        <v>58</v>
      </c>
      <c r="C109" s="98">
        <v>0.2</v>
      </c>
      <c r="D109" s="99">
        <v>16.5</v>
      </c>
      <c r="E109" s="62">
        <f t="shared" si="1"/>
        <v>82.5</v>
      </c>
    </row>
    <row r="110" spans="1:7" x14ac:dyDescent="0.25">
      <c r="A110" s="63" t="s">
        <v>63</v>
      </c>
      <c r="B110" s="64" t="s">
        <v>64</v>
      </c>
      <c r="C110" s="98">
        <v>1</v>
      </c>
      <c r="D110" s="99">
        <v>18.2</v>
      </c>
      <c r="E110" s="62">
        <f t="shared" si="1"/>
        <v>18.2</v>
      </c>
    </row>
    <row r="111" spans="1:7" x14ac:dyDescent="0.25">
      <c r="A111" s="63" t="s">
        <v>65</v>
      </c>
      <c r="B111" s="64" t="s">
        <v>66</v>
      </c>
      <c r="C111" s="104">
        <v>1</v>
      </c>
      <c r="D111" s="99">
        <v>25</v>
      </c>
      <c r="E111" s="66">
        <f t="shared" ref="E111:E112" si="2">C111*D111</f>
        <v>25</v>
      </c>
    </row>
    <row r="112" spans="1:7" ht="15" thickBot="1" x14ac:dyDescent="0.3">
      <c r="A112" s="63" t="s">
        <v>29</v>
      </c>
      <c r="B112" s="64" t="s">
        <v>30</v>
      </c>
      <c r="C112" s="104">
        <f>E31</f>
        <v>2</v>
      </c>
      <c r="D112" s="66">
        <f>+SUM(E99:E111)</f>
        <v>234.625</v>
      </c>
      <c r="E112" s="66">
        <f t="shared" si="2"/>
        <v>469.25</v>
      </c>
    </row>
    <row r="113" spans="1:7" ht="15.75" thickBot="1" x14ac:dyDescent="0.3">
      <c r="D113" s="74" t="s">
        <v>31</v>
      </c>
      <c r="E113" s="75">
        <f>0.43</f>
        <v>0.43</v>
      </c>
      <c r="F113" s="76">
        <f>E112*E113</f>
        <v>201.7775</v>
      </c>
    </row>
    <row r="115" spans="1:7" x14ac:dyDescent="0.25">
      <c r="A115" s="2" t="s">
        <v>67</v>
      </c>
    </row>
    <row r="116" spans="1:7" ht="15" thickBot="1" x14ac:dyDescent="0.3"/>
    <row r="117" spans="1:7" ht="30.75" thickBot="1" x14ac:dyDescent="0.3">
      <c r="A117" s="55" t="s">
        <v>13</v>
      </c>
      <c r="B117" s="56" t="s">
        <v>14</v>
      </c>
      <c r="C117" s="97" t="s">
        <v>50</v>
      </c>
      <c r="D117" s="57" t="s">
        <v>15</v>
      </c>
      <c r="E117" s="57" t="s">
        <v>16</v>
      </c>
      <c r="F117" s="58" t="s">
        <v>17</v>
      </c>
    </row>
    <row r="118" spans="1:7" x14ac:dyDescent="0.25">
      <c r="A118" s="59" t="s">
        <v>51</v>
      </c>
      <c r="B118" s="60" t="s">
        <v>45</v>
      </c>
      <c r="C118" s="98">
        <v>4</v>
      </c>
      <c r="D118" s="62">
        <f>+D99</f>
        <v>145</v>
      </c>
      <c r="E118" s="62">
        <f>IFERROR(D118/C118,0)</f>
        <v>36.25</v>
      </c>
    </row>
    <row r="119" spans="1:7" x14ac:dyDescent="0.25">
      <c r="A119" s="63" t="s">
        <v>52</v>
      </c>
      <c r="B119" s="64" t="s">
        <v>45</v>
      </c>
      <c r="C119" s="98">
        <v>4</v>
      </c>
      <c r="D119" s="66">
        <f>+D100</f>
        <v>62.5</v>
      </c>
      <c r="E119" s="62">
        <f t="shared" ref="E119:E123" si="3">IFERROR(D119/C119,0)</f>
        <v>15.625</v>
      </c>
    </row>
    <row r="120" spans="1:7" x14ac:dyDescent="0.25">
      <c r="A120" s="63" t="s">
        <v>68</v>
      </c>
      <c r="B120" s="64" t="s">
        <v>45</v>
      </c>
      <c r="C120" s="98">
        <v>4</v>
      </c>
      <c r="D120" s="66">
        <f>+D102</f>
        <v>24.9</v>
      </c>
      <c r="E120" s="62">
        <f t="shared" si="3"/>
        <v>6.2249999999999996</v>
      </c>
    </row>
    <row r="121" spans="1:7" x14ac:dyDescent="0.25">
      <c r="A121" s="63" t="s">
        <v>57</v>
      </c>
      <c r="B121" s="64" t="s">
        <v>58</v>
      </c>
      <c r="C121" s="98">
        <v>3</v>
      </c>
      <c r="D121" s="66">
        <f>+D105</f>
        <v>70</v>
      </c>
      <c r="E121" s="62">
        <f t="shared" si="3"/>
        <v>23.333333333333332</v>
      </c>
    </row>
    <row r="122" spans="1:7" x14ac:dyDescent="0.25">
      <c r="A122" s="63" t="s">
        <v>60</v>
      </c>
      <c r="B122" s="64" t="s">
        <v>45</v>
      </c>
      <c r="C122" s="98">
        <v>2</v>
      </c>
      <c r="D122" s="66">
        <f>+D107</f>
        <v>35.700000000000003</v>
      </c>
      <c r="E122" s="62">
        <f t="shared" si="3"/>
        <v>17.850000000000001</v>
      </c>
      <c r="G122" s="2"/>
    </row>
    <row r="123" spans="1:7" x14ac:dyDescent="0.25">
      <c r="A123" s="63" t="s">
        <v>63</v>
      </c>
      <c r="B123" s="64" t="s">
        <v>64</v>
      </c>
      <c r="C123" s="98">
        <v>1</v>
      </c>
      <c r="D123" s="66">
        <f>+D110</f>
        <v>18.2</v>
      </c>
      <c r="E123" s="62">
        <f t="shared" si="3"/>
        <v>18.2</v>
      </c>
      <c r="G123" s="2"/>
    </row>
    <row r="124" spans="1:7" x14ac:dyDescent="0.25">
      <c r="A124" s="63" t="s">
        <v>65</v>
      </c>
      <c r="B124" s="64" t="s">
        <v>66</v>
      </c>
      <c r="C124" s="104">
        <v>1</v>
      </c>
      <c r="D124" s="99">
        <v>25</v>
      </c>
      <c r="E124" s="66">
        <f t="shared" ref="E124:E125" si="4">C124*D124</f>
        <v>25</v>
      </c>
      <c r="G124" s="2"/>
    </row>
    <row r="125" spans="1:7" ht="15" thickBot="1" x14ac:dyDescent="0.3">
      <c r="A125" s="63" t="s">
        <v>29</v>
      </c>
      <c r="B125" s="64" t="s">
        <v>30</v>
      </c>
      <c r="C125" s="104">
        <f>E32</f>
        <v>1</v>
      </c>
      <c r="D125" s="66">
        <f>+SUM(E118:E124)</f>
        <v>142.48333333333335</v>
      </c>
      <c r="E125" s="66">
        <f t="shared" si="4"/>
        <v>142.48333333333335</v>
      </c>
      <c r="G125" s="2"/>
    </row>
    <row r="126" spans="1:7" ht="15.75" thickBot="1" x14ac:dyDescent="0.3">
      <c r="D126" s="74" t="s">
        <v>31</v>
      </c>
      <c r="E126" s="268">
        <f>B39</f>
        <v>0.36930000000000002</v>
      </c>
      <c r="F126" s="76">
        <f>E125*E126</f>
        <v>52.619095000000009</v>
      </c>
      <c r="G126" s="2"/>
    </row>
    <row r="127" spans="1:7" ht="15" thickBot="1" x14ac:dyDescent="0.3">
      <c r="G127" s="2"/>
    </row>
    <row r="128" spans="1:7" ht="15.75" thickBot="1" x14ac:dyDescent="0.3">
      <c r="A128" s="94" t="s">
        <v>69</v>
      </c>
      <c r="B128" s="105"/>
      <c r="C128" s="105"/>
      <c r="D128" s="106"/>
      <c r="E128" s="107"/>
      <c r="F128" s="108">
        <f>+F113+F126</f>
        <v>254.39659500000002</v>
      </c>
      <c r="G128" s="2"/>
    </row>
    <row r="129" spans="1:10" x14ac:dyDescent="0.25">
      <c r="G129" s="2"/>
    </row>
    <row r="130" spans="1:10" ht="15" x14ac:dyDescent="0.25">
      <c r="A130" s="15" t="s">
        <v>70</v>
      </c>
      <c r="G130" s="2"/>
    </row>
    <row r="131" spans="1:10" ht="11.25" customHeight="1" x14ac:dyDescent="0.25">
      <c r="B131" s="109"/>
      <c r="G131" s="2"/>
    </row>
    <row r="132" spans="1:10" x14ac:dyDescent="0.25">
      <c r="A132" s="2" t="s">
        <v>71</v>
      </c>
      <c r="G132" s="2"/>
    </row>
    <row r="133" spans="1:10" ht="11.25" customHeight="1" x14ac:dyDescent="0.25">
      <c r="G133" s="2"/>
    </row>
    <row r="134" spans="1:10" ht="15" thickBot="1" x14ac:dyDescent="0.3">
      <c r="A134" s="109" t="s">
        <v>72</v>
      </c>
      <c r="G134" s="2"/>
    </row>
    <row r="135" spans="1:10" ht="15.75" thickBot="1" x14ac:dyDescent="0.3">
      <c r="A135" s="55" t="s">
        <v>13</v>
      </c>
      <c r="B135" s="56" t="s">
        <v>14</v>
      </c>
      <c r="C135" s="56" t="s">
        <v>7</v>
      </c>
      <c r="D135" s="57" t="s">
        <v>15</v>
      </c>
      <c r="E135" s="57" t="s">
        <v>16</v>
      </c>
      <c r="F135" s="58" t="s">
        <v>17</v>
      </c>
      <c r="G135" s="2"/>
    </row>
    <row r="136" spans="1:10" x14ac:dyDescent="0.25">
      <c r="A136" s="59" t="s">
        <v>73</v>
      </c>
      <c r="B136" s="60" t="s">
        <v>45</v>
      </c>
      <c r="C136" s="60">
        <v>1</v>
      </c>
      <c r="D136" s="99">
        <v>500000</v>
      </c>
      <c r="E136" s="62">
        <f>C136*D136</f>
        <v>500000</v>
      </c>
      <c r="G136" s="2"/>
    </row>
    <row r="137" spans="1:10" x14ac:dyDescent="0.25">
      <c r="A137" s="63" t="s">
        <v>74</v>
      </c>
      <c r="B137" s="64" t="s">
        <v>75</v>
      </c>
      <c r="C137" s="78">
        <v>5</v>
      </c>
      <c r="D137" s="68"/>
      <c r="E137" s="66"/>
      <c r="G137" s="2"/>
    </row>
    <row r="138" spans="1:10" x14ac:dyDescent="0.25">
      <c r="A138" s="63" t="s">
        <v>76</v>
      </c>
      <c r="B138" s="64" t="s">
        <v>75</v>
      </c>
      <c r="C138" s="78">
        <v>0</v>
      </c>
      <c r="D138" s="66"/>
      <c r="E138" s="66"/>
      <c r="F138" s="110"/>
      <c r="I138" s="111"/>
      <c r="J138" s="111"/>
    </row>
    <row r="139" spans="1:10" x14ac:dyDescent="0.25">
      <c r="A139" s="63" t="s">
        <v>77</v>
      </c>
      <c r="B139" s="64" t="s">
        <v>3</v>
      </c>
      <c r="C139" s="73">
        <f>IFERROR(VLOOKUP(C137,'[1]5. Depreciação'!A4:B18,2,FALSE),0)</f>
        <v>55.679999999999993</v>
      </c>
      <c r="D139" s="66">
        <f>E136</f>
        <v>500000</v>
      </c>
      <c r="E139" s="66">
        <f>C139*D139/100</f>
        <v>278399.99999999994</v>
      </c>
    </row>
    <row r="140" spans="1:10" ht="15.75" thickBot="1" x14ac:dyDescent="0.3">
      <c r="A140" s="112" t="s">
        <v>78</v>
      </c>
      <c r="B140" s="113" t="s">
        <v>19</v>
      </c>
      <c r="C140" s="113">
        <f>C137*12</f>
        <v>60</v>
      </c>
      <c r="D140" s="114">
        <f>E139</f>
        <v>278399.99999999994</v>
      </c>
      <c r="E140" s="114">
        <f>IFERROR(D140/C140,0)</f>
        <v>4639.9999999999991</v>
      </c>
    </row>
    <row r="141" spans="1:10" ht="15" thickTop="1" x14ac:dyDescent="0.25">
      <c r="A141" s="59" t="s">
        <v>79</v>
      </c>
      <c r="B141" s="60" t="s">
        <v>45</v>
      </c>
      <c r="C141" s="60">
        <f>C136</f>
        <v>1</v>
      </c>
      <c r="D141" s="99">
        <v>120000</v>
      </c>
      <c r="E141" s="62">
        <f>C141*D141</f>
        <v>120000</v>
      </c>
      <c r="G141" s="2"/>
    </row>
    <row r="142" spans="1:10" x14ac:dyDescent="0.25">
      <c r="A142" s="63" t="s">
        <v>80</v>
      </c>
      <c r="B142" s="64" t="s">
        <v>75</v>
      </c>
      <c r="C142" s="78">
        <v>5</v>
      </c>
      <c r="D142" s="66"/>
      <c r="E142" s="66"/>
    </row>
    <row r="143" spans="1:10" x14ac:dyDescent="0.25">
      <c r="A143" s="63" t="s">
        <v>81</v>
      </c>
      <c r="B143" s="64" t="s">
        <v>75</v>
      </c>
      <c r="C143" s="78">
        <v>0</v>
      </c>
      <c r="D143" s="66"/>
      <c r="E143" s="66"/>
      <c r="F143" s="110"/>
      <c r="I143" s="111"/>
      <c r="J143" s="111"/>
    </row>
    <row r="144" spans="1:10" x14ac:dyDescent="0.25">
      <c r="A144" s="63" t="s">
        <v>82</v>
      </c>
      <c r="B144" s="64" t="s">
        <v>3</v>
      </c>
      <c r="C144" s="115">
        <f>IFERROR(VLOOKUP(C142,'[1]5. Depreciação'!A4:B18,2,FALSE),0)</f>
        <v>55.679999999999993</v>
      </c>
      <c r="D144" s="66">
        <f>E141</f>
        <v>120000</v>
      </c>
      <c r="E144" s="66">
        <f>C144*D144/100</f>
        <v>66815.999999999985</v>
      </c>
    </row>
    <row r="145" spans="1:10" ht="15" x14ac:dyDescent="0.25">
      <c r="A145" s="80" t="s">
        <v>83</v>
      </c>
      <c r="B145" s="116" t="s">
        <v>19</v>
      </c>
      <c r="C145" s="116">
        <f>C142*12</f>
        <v>60</v>
      </c>
      <c r="D145" s="81">
        <f>IF(C143&lt;=C142,E144,0)</f>
        <v>66815.999999999985</v>
      </c>
      <c r="E145" s="81">
        <f>IFERROR(D145/C145,0)</f>
        <v>1113.5999999999997</v>
      </c>
    </row>
    <row r="146" spans="1:10" ht="15" x14ac:dyDescent="0.25">
      <c r="A146" s="80" t="s">
        <v>84</v>
      </c>
      <c r="B146" s="116" t="s">
        <v>19</v>
      </c>
      <c r="C146" s="116">
        <v>1</v>
      </c>
      <c r="D146" s="81">
        <f>IF(C144&lt;=C143,E145,0)</f>
        <v>0</v>
      </c>
      <c r="E146" s="72">
        <f>(E140+E145)*0.1</f>
        <v>575.3599999999999</v>
      </c>
    </row>
    <row r="147" spans="1:10" ht="15" x14ac:dyDescent="0.25">
      <c r="A147" s="69" t="s">
        <v>85</v>
      </c>
      <c r="B147" s="70"/>
      <c r="C147" s="70"/>
      <c r="D147" s="71"/>
      <c r="E147" s="72">
        <f>E140+E145</f>
        <v>5753.5999999999985</v>
      </c>
    </row>
    <row r="148" spans="1:10" ht="15.75" thickBot="1" x14ac:dyDescent="0.3">
      <c r="A148" s="80" t="s">
        <v>86</v>
      </c>
      <c r="B148" s="116" t="s">
        <v>45</v>
      </c>
      <c r="C148" s="78">
        <v>1</v>
      </c>
      <c r="D148" s="81">
        <f>E147</f>
        <v>5753.5999999999985</v>
      </c>
      <c r="E148" s="72">
        <f>C148*D148</f>
        <v>5753.5999999999985</v>
      </c>
    </row>
    <row r="149" spans="1:10" ht="15.75" thickBot="1" x14ac:dyDescent="0.3">
      <c r="A149" s="117"/>
      <c r="B149" s="117"/>
      <c r="C149" s="117"/>
      <c r="D149" s="74" t="s">
        <v>31</v>
      </c>
      <c r="E149" s="268">
        <f>B40</f>
        <v>0.625</v>
      </c>
      <c r="F149" s="108">
        <f>E148*E149</f>
        <v>3595.9999999999991</v>
      </c>
    </row>
    <row r="150" spans="1:10" ht="11.25" customHeight="1" x14ac:dyDescent="0.25"/>
    <row r="151" spans="1:10" ht="15" thickBot="1" x14ac:dyDescent="0.3">
      <c r="A151" s="109" t="s">
        <v>87</v>
      </c>
    </row>
    <row r="152" spans="1:10" ht="15.75" thickBot="1" x14ac:dyDescent="0.3">
      <c r="A152" s="118" t="s">
        <v>13</v>
      </c>
      <c r="B152" s="119" t="s">
        <v>14</v>
      </c>
      <c r="C152" s="119" t="s">
        <v>7</v>
      </c>
      <c r="D152" s="57" t="s">
        <v>15</v>
      </c>
      <c r="E152" s="120" t="s">
        <v>16</v>
      </c>
      <c r="F152" s="58" t="s">
        <v>17</v>
      </c>
      <c r="I152" s="111"/>
      <c r="J152" s="111"/>
    </row>
    <row r="153" spans="1:10" x14ac:dyDescent="0.25">
      <c r="A153" s="63" t="s">
        <v>88</v>
      </c>
      <c r="B153" s="64" t="s">
        <v>45</v>
      </c>
      <c r="C153" s="60">
        <v>1</v>
      </c>
      <c r="D153" s="66">
        <f>D136</f>
        <v>500000</v>
      </c>
      <c r="E153" s="66">
        <f>C153*D153</f>
        <v>500000</v>
      </c>
      <c r="F153" s="110"/>
      <c r="I153" s="111"/>
      <c r="J153" s="111"/>
    </row>
    <row r="154" spans="1:10" ht="15" x14ac:dyDescent="0.25">
      <c r="A154" s="63" t="s">
        <v>89</v>
      </c>
      <c r="B154" s="64" t="s">
        <v>3</v>
      </c>
      <c r="C154" s="272">
        <f>BDI!E9</f>
        <v>0.15</v>
      </c>
      <c r="D154" s="66"/>
      <c r="E154" s="66"/>
      <c r="F154" s="110"/>
      <c r="I154" s="111"/>
      <c r="J154" s="111"/>
    </row>
    <row r="155" spans="1:10" x14ac:dyDescent="0.25">
      <c r="A155" s="63" t="s">
        <v>90</v>
      </c>
      <c r="B155" s="64" t="s">
        <v>24</v>
      </c>
      <c r="C155" s="121">
        <f>IFERROR(IF(C138&lt;=C137,E136-(C139/(100*C137)*C138)*E136,E136-E139),0)</f>
        <v>500000</v>
      </c>
      <c r="D155" s="66"/>
      <c r="E155" s="66"/>
      <c r="F155" s="110"/>
      <c r="I155" s="111"/>
      <c r="J155" s="111"/>
    </row>
    <row r="156" spans="1:10" x14ac:dyDescent="0.25">
      <c r="A156" s="63" t="s">
        <v>91</v>
      </c>
      <c r="B156" s="64" t="s">
        <v>24</v>
      </c>
      <c r="C156" s="68">
        <f>IFERROR(IF(C138&gt;=C137,C155,((((C155)-(E136-E139))*(((C137-C138)+1)/(2*(C137-C138))))+(E136-E139))),0)</f>
        <v>388640</v>
      </c>
      <c r="D156" s="66"/>
      <c r="E156" s="66"/>
      <c r="F156" s="110"/>
      <c r="I156" s="111"/>
      <c r="J156" s="111"/>
    </row>
    <row r="157" spans="1:10" ht="15.75" thickBot="1" x14ac:dyDescent="0.3">
      <c r="A157" s="112" t="s">
        <v>92</v>
      </c>
      <c r="B157" s="113" t="s">
        <v>24</v>
      </c>
      <c r="C157" s="113"/>
      <c r="D157" s="122">
        <f>C154*C156/12/100</f>
        <v>48.58</v>
      </c>
      <c r="E157" s="114">
        <f>D157</f>
        <v>48.58</v>
      </c>
      <c r="F157" s="110"/>
      <c r="I157" s="111"/>
      <c r="J157" s="111"/>
    </row>
    <row r="158" spans="1:10" ht="15" thickTop="1" x14ac:dyDescent="0.25">
      <c r="A158" s="59" t="s">
        <v>93</v>
      </c>
      <c r="B158" s="60" t="s">
        <v>45</v>
      </c>
      <c r="C158" s="60">
        <f>C141</f>
        <v>1</v>
      </c>
      <c r="D158" s="62">
        <f>D141</f>
        <v>120000</v>
      </c>
      <c r="E158" s="62">
        <f>C158*D158</f>
        <v>120000</v>
      </c>
      <c r="F158" s="110"/>
      <c r="I158" s="111"/>
      <c r="J158" s="111"/>
    </row>
    <row r="159" spans="1:10" x14ac:dyDescent="0.25">
      <c r="A159" s="63" t="s">
        <v>89</v>
      </c>
      <c r="B159" s="64" t="s">
        <v>3</v>
      </c>
      <c r="C159" s="64">
        <f>C154</f>
        <v>0.15</v>
      </c>
      <c r="D159" s="66"/>
      <c r="E159" s="66"/>
      <c r="F159" s="110"/>
      <c r="I159" s="111"/>
      <c r="J159" s="111"/>
    </row>
    <row r="160" spans="1:10" x14ac:dyDescent="0.25">
      <c r="A160" s="63" t="s">
        <v>94</v>
      </c>
      <c r="B160" s="64" t="s">
        <v>24</v>
      </c>
      <c r="C160" s="121">
        <f>IFERROR(IF(C143&lt;=C142,E141-(C144/(100*C142)*C143)*E141,E141-E144),0)</f>
        <v>120000</v>
      </c>
      <c r="D160" s="66"/>
      <c r="E160" s="66"/>
      <c r="F160" s="110"/>
      <c r="I160" s="111"/>
      <c r="J160" s="111"/>
    </row>
    <row r="161" spans="1:10" x14ac:dyDescent="0.25">
      <c r="A161" s="63" t="s">
        <v>95</v>
      </c>
      <c r="B161" s="64" t="s">
        <v>24</v>
      </c>
      <c r="C161" s="68">
        <f>IFERROR(IF(C143&gt;=C142,C160,((((C160)-(E141-E144))*(((C142-C143)+1)/(2*(C142-C143))))+(E141-E144))),0)</f>
        <v>93273.600000000006</v>
      </c>
      <c r="D161" s="66"/>
      <c r="E161" s="66"/>
      <c r="F161" s="110"/>
      <c r="I161" s="111"/>
      <c r="J161" s="111"/>
    </row>
    <row r="162" spans="1:10" ht="15" x14ac:dyDescent="0.25">
      <c r="A162" s="80" t="s">
        <v>96</v>
      </c>
      <c r="B162" s="116" t="s">
        <v>24</v>
      </c>
      <c r="C162" s="116"/>
      <c r="D162" s="123">
        <f>C159*C161/12/100</f>
        <v>11.6592</v>
      </c>
      <c r="E162" s="81">
        <f>D162</f>
        <v>11.6592</v>
      </c>
      <c r="F162" s="110"/>
      <c r="I162" s="111"/>
      <c r="J162" s="111"/>
    </row>
    <row r="163" spans="1:10" ht="15" x14ac:dyDescent="0.25">
      <c r="A163" s="80" t="s">
        <v>84</v>
      </c>
      <c r="B163" s="116" t="s">
        <v>19</v>
      </c>
      <c r="C163" s="116">
        <v>1</v>
      </c>
      <c r="D163" s="124" t="s">
        <v>97</v>
      </c>
      <c r="E163" s="72">
        <f>(E157+E162)*0.1</f>
        <v>6.0239200000000004</v>
      </c>
      <c r="F163" s="110"/>
      <c r="I163" s="111"/>
      <c r="J163" s="111"/>
    </row>
    <row r="164" spans="1:10" ht="15" x14ac:dyDescent="0.25">
      <c r="A164" s="69" t="s">
        <v>85</v>
      </c>
      <c r="B164" s="70"/>
      <c r="C164" s="70"/>
      <c r="D164" s="71"/>
      <c r="E164" s="72">
        <f>E157+E162</f>
        <v>60.239199999999997</v>
      </c>
      <c r="F164" s="110"/>
      <c r="I164" s="111"/>
      <c r="J164" s="111"/>
    </row>
    <row r="165" spans="1:10" ht="15.75" thickBot="1" x14ac:dyDescent="0.3">
      <c r="A165" s="80" t="s">
        <v>86</v>
      </c>
      <c r="B165" s="116" t="s">
        <v>45</v>
      </c>
      <c r="C165" s="64">
        <f>C148</f>
        <v>1</v>
      </c>
      <c r="D165" s="81">
        <f>E164</f>
        <v>60.239199999999997</v>
      </c>
      <c r="E165" s="72">
        <f>C165*D165</f>
        <v>60.239199999999997</v>
      </c>
      <c r="F165" s="110"/>
      <c r="I165" s="111"/>
      <c r="J165" s="111"/>
    </row>
    <row r="166" spans="1:10" ht="15.75" thickBot="1" x14ac:dyDescent="0.3">
      <c r="C166" s="125"/>
      <c r="D166" s="74" t="s">
        <v>31</v>
      </c>
      <c r="E166" s="268">
        <f>B40</f>
        <v>0.625</v>
      </c>
      <c r="F166" s="108">
        <f>E165*E166</f>
        <v>37.649499999999996</v>
      </c>
      <c r="I166" s="111"/>
      <c r="J166" s="111"/>
    </row>
    <row r="167" spans="1:10" ht="11.25" customHeight="1" x14ac:dyDescent="0.25">
      <c r="I167" s="111"/>
      <c r="J167" s="111"/>
    </row>
    <row r="168" spans="1:10" ht="15" thickBot="1" x14ac:dyDescent="0.3">
      <c r="A168" s="2" t="s">
        <v>98</v>
      </c>
      <c r="I168" s="111"/>
      <c r="J168" s="111"/>
    </row>
    <row r="169" spans="1:10" ht="15.75" thickBot="1" x14ac:dyDescent="0.3">
      <c r="A169" s="55" t="s">
        <v>13</v>
      </c>
      <c r="B169" s="56" t="s">
        <v>14</v>
      </c>
      <c r="C169" s="56" t="s">
        <v>7</v>
      </c>
      <c r="D169" s="57" t="s">
        <v>15</v>
      </c>
      <c r="E169" s="57" t="s">
        <v>16</v>
      </c>
      <c r="F169" s="58" t="s">
        <v>17</v>
      </c>
      <c r="I169" s="111"/>
      <c r="J169" s="111"/>
    </row>
    <row r="170" spans="1:10" x14ac:dyDescent="0.25">
      <c r="A170" s="59" t="s">
        <v>99</v>
      </c>
      <c r="B170" s="60" t="s">
        <v>45</v>
      </c>
      <c r="C170" s="62">
        <f>C148</f>
        <v>1</v>
      </c>
      <c r="D170" s="99">
        <f>0.01*($E$136)</f>
        <v>5000</v>
      </c>
      <c r="E170" s="62">
        <f>C170*D170</f>
        <v>5000</v>
      </c>
      <c r="I170" s="111"/>
      <c r="J170" s="111"/>
    </row>
    <row r="171" spans="1:10" x14ac:dyDescent="0.25">
      <c r="A171" s="63" t="s">
        <v>100</v>
      </c>
      <c r="B171" s="64" t="s">
        <v>45</v>
      </c>
      <c r="C171" s="62">
        <f>C148</f>
        <v>1</v>
      </c>
      <c r="D171" s="126">
        <v>94.1</v>
      </c>
      <c r="E171" s="66">
        <f>C171*D171</f>
        <v>94.1</v>
      </c>
      <c r="I171" s="111"/>
      <c r="J171" s="111"/>
    </row>
    <row r="172" spans="1:10" ht="15" x14ac:dyDescent="0.25">
      <c r="A172" s="63" t="s">
        <v>101</v>
      </c>
      <c r="B172" s="64" t="s">
        <v>45</v>
      </c>
      <c r="C172" s="62">
        <f>C148</f>
        <v>1</v>
      </c>
      <c r="D172" s="126">
        <v>3850</v>
      </c>
      <c r="E172" s="66">
        <f>C172*D172</f>
        <v>3850</v>
      </c>
      <c r="F172" s="127"/>
      <c r="I172" s="111"/>
      <c r="J172" s="111"/>
    </row>
    <row r="173" spans="1:10" ht="15.75" thickBot="1" x14ac:dyDescent="0.3">
      <c r="A173" s="80" t="s">
        <v>102</v>
      </c>
      <c r="B173" s="116" t="s">
        <v>19</v>
      </c>
      <c r="C173" s="116">
        <v>12</v>
      </c>
      <c r="D173" s="81">
        <f>SUM(E170:E172)</f>
        <v>8944.1</v>
      </c>
      <c r="E173" s="81">
        <f>D173/C173</f>
        <v>745.3416666666667</v>
      </c>
      <c r="I173" s="111"/>
      <c r="J173" s="111"/>
    </row>
    <row r="174" spans="1:10" ht="15.75" thickBot="1" x14ac:dyDescent="0.3">
      <c r="D174" s="74" t="s">
        <v>31</v>
      </c>
      <c r="E174" s="268">
        <f>B40</f>
        <v>0.625</v>
      </c>
      <c r="F174" s="76">
        <f>E173*E174</f>
        <v>465.83854166666669</v>
      </c>
      <c r="I174" s="111"/>
      <c r="J174" s="111"/>
    </row>
    <row r="175" spans="1:10" ht="11.25" customHeight="1" x14ac:dyDescent="0.25">
      <c r="I175" s="111"/>
      <c r="J175" s="111"/>
    </row>
    <row r="176" spans="1:10" x14ac:dyDescent="0.25">
      <c r="A176" s="2" t="s">
        <v>103</v>
      </c>
      <c r="B176" s="128"/>
      <c r="I176" s="111"/>
      <c r="J176" s="111"/>
    </row>
    <row r="177" spans="1:10" x14ac:dyDescent="0.25">
      <c r="B177" s="128"/>
      <c r="I177" s="111"/>
      <c r="J177" s="111"/>
    </row>
    <row r="178" spans="1:10" ht="15" x14ac:dyDescent="0.25">
      <c r="A178" s="80" t="s">
        <v>104</v>
      </c>
      <c r="B178" s="129">
        <v>4524</v>
      </c>
      <c r="I178" s="111"/>
      <c r="J178" s="111"/>
    </row>
    <row r="179" spans="1:10" ht="15" thickBot="1" x14ac:dyDescent="0.3">
      <c r="B179" s="128"/>
      <c r="I179" s="111"/>
      <c r="J179" s="111"/>
    </row>
    <row r="180" spans="1:10" ht="15.75" thickBot="1" x14ac:dyDescent="0.3">
      <c r="A180" s="55" t="s">
        <v>13</v>
      </c>
      <c r="B180" s="56" t="s">
        <v>14</v>
      </c>
      <c r="C180" s="56" t="s">
        <v>105</v>
      </c>
      <c r="D180" s="57" t="s">
        <v>15</v>
      </c>
      <c r="E180" s="57" t="s">
        <v>16</v>
      </c>
      <c r="F180" s="58" t="s">
        <v>17</v>
      </c>
      <c r="I180" s="111"/>
      <c r="J180" s="111"/>
    </row>
    <row r="181" spans="1:10" x14ac:dyDescent="0.25">
      <c r="A181" s="59" t="s">
        <v>106</v>
      </c>
      <c r="B181" s="60" t="s">
        <v>107</v>
      </c>
      <c r="C181" s="130">
        <v>2.2000000000000002</v>
      </c>
      <c r="D181" s="131">
        <v>6.02</v>
      </c>
      <c r="E181" s="62"/>
      <c r="I181" s="111"/>
      <c r="J181" s="111"/>
    </row>
    <row r="182" spans="1:10" x14ac:dyDescent="0.25">
      <c r="A182" s="63" t="s">
        <v>108</v>
      </c>
      <c r="B182" s="64" t="s">
        <v>109</v>
      </c>
      <c r="C182" s="86">
        <f>B178</f>
        <v>4524</v>
      </c>
      <c r="D182" s="132">
        <f>IFERROR(+D181/C181,"-")</f>
        <v>2.7363636363636359</v>
      </c>
      <c r="E182" s="66">
        <f>IFERROR(C182*D182,"-")</f>
        <v>12379.309090909088</v>
      </c>
      <c r="I182" s="111"/>
      <c r="J182" s="111"/>
    </row>
    <row r="183" spans="1:10" x14ac:dyDescent="0.25">
      <c r="A183" s="63" t="s">
        <v>110</v>
      </c>
      <c r="B183" s="64" t="s">
        <v>111</v>
      </c>
      <c r="C183" s="133">
        <v>1.33</v>
      </c>
      <c r="D183" s="126">
        <v>20</v>
      </c>
      <c r="E183" s="66"/>
      <c r="G183" s="134"/>
      <c r="I183" s="111"/>
      <c r="J183" s="111"/>
    </row>
    <row r="184" spans="1:10" x14ac:dyDescent="0.25">
      <c r="A184" s="63" t="s">
        <v>112</v>
      </c>
      <c r="B184" s="64" t="s">
        <v>109</v>
      </c>
      <c r="C184" s="86">
        <f>C182</f>
        <v>4524</v>
      </c>
      <c r="D184" s="135">
        <f>+C183*D183/1000</f>
        <v>2.6600000000000002E-2</v>
      </c>
      <c r="E184" s="66">
        <f>C184*D184</f>
        <v>120.33840000000001</v>
      </c>
      <c r="G184" s="134"/>
      <c r="I184" s="111"/>
      <c r="J184" s="111"/>
    </row>
    <row r="185" spans="1:10" x14ac:dyDescent="0.25">
      <c r="A185" s="63" t="s">
        <v>113</v>
      </c>
      <c r="B185" s="64" t="s">
        <v>111</v>
      </c>
      <c r="C185" s="133">
        <v>0.18</v>
      </c>
      <c r="D185" s="126">
        <v>23.5</v>
      </c>
      <c r="E185" s="66"/>
      <c r="G185" s="134"/>
      <c r="I185" s="111"/>
      <c r="J185" s="111"/>
    </row>
    <row r="186" spans="1:10" x14ac:dyDescent="0.25">
      <c r="A186" s="63" t="s">
        <v>114</v>
      </c>
      <c r="B186" s="64" t="s">
        <v>109</v>
      </c>
      <c r="C186" s="86">
        <f>C182</f>
        <v>4524</v>
      </c>
      <c r="D186" s="135">
        <f>+C185*D185/1000</f>
        <v>4.2299999999999994E-3</v>
      </c>
      <c r="E186" s="66">
        <f>C186*D186</f>
        <v>19.136519999999997</v>
      </c>
      <c r="G186" s="134"/>
      <c r="I186" s="111"/>
      <c r="J186" s="111"/>
    </row>
    <row r="187" spans="1:10" x14ac:dyDescent="0.25">
      <c r="A187" s="63" t="s">
        <v>115</v>
      </c>
      <c r="B187" s="64" t="s">
        <v>111</v>
      </c>
      <c r="C187" s="133">
        <v>3</v>
      </c>
      <c r="D187" s="126">
        <v>21</v>
      </c>
      <c r="E187" s="66"/>
      <c r="G187" s="134"/>
      <c r="I187" s="111"/>
      <c r="J187" s="111"/>
    </row>
    <row r="188" spans="1:10" x14ac:dyDescent="0.25">
      <c r="A188" s="63" t="s">
        <v>116</v>
      </c>
      <c r="B188" s="64" t="s">
        <v>109</v>
      </c>
      <c r="C188" s="86">
        <f>C182</f>
        <v>4524</v>
      </c>
      <c r="D188" s="135">
        <f>+C187*D187/1000</f>
        <v>6.3E-2</v>
      </c>
      <c r="E188" s="66">
        <f>C188*D188</f>
        <v>285.012</v>
      </c>
      <c r="G188" s="134"/>
      <c r="I188" s="111"/>
      <c r="J188" s="111"/>
    </row>
    <row r="189" spans="1:10" x14ac:dyDescent="0.25">
      <c r="A189" s="63" t="s">
        <v>117</v>
      </c>
      <c r="B189" s="64" t="s">
        <v>118</v>
      </c>
      <c r="C189" s="133">
        <v>1</v>
      </c>
      <c r="D189" s="126">
        <v>19</v>
      </c>
      <c r="E189" s="66"/>
      <c r="G189" s="134"/>
      <c r="I189" s="111"/>
      <c r="J189" s="111"/>
    </row>
    <row r="190" spans="1:10" x14ac:dyDescent="0.25">
      <c r="A190" s="63" t="s">
        <v>119</v>
      </c>
      <c r="B190" s="64" t="s">
        <v>109</v>
      </c>
      <c r="C190" s="86">
        <f>C182</f>
        <v>4524</v>
      </c>
      <c r="D190" s="135">
        <f>+C189*D189/1000</f>
        <v>1.9E-2</v>
      </c>
      <c r="E190" s="66">
        <f>C190*D190</f>
        <v>85.956000000000003</v>
      </c>
      <c r="G190" s="134"/>
      <c r="I190" s="111"/>
      <c r="J190" s="111"/>
    </row>
    <row r="191" spans="1:10" ht="15.75" thickBot="1" x14ac:dyDescent="0.3">
      <c r="A191" s="80" t="s">
        <v>120</v>
      </c>
      <c r="B191" s="116" t="s">
        <v>121</v>
      </c>
      <c r="C191" s="136"/>
      <c r="D191" s="137">
        <f>IFERROR(D182+D184+D186+D188+D190,0)</f>
        <v>2.8491936363636365</v>
      </c>
      <c r="E191" s="66"/>
      <c r="G191" s="134"/>
      <c r="I191" s="111"/>
      <c r="J191" s="111"/>
    </row>
    <row r="192" spans="1:10" ht="15.75" thickBot="1" x14ac:dyDescent="0.3">
      <c r="F192" s="108">
        <f>SUM(E181:E190)</f>
        <v>12889.752010909089</v>
      </c>
      <c r="I192" s="111"/>
      <c r="J192" s="111"/>
    </row>
    <row r="193" spans="1:10" ht="11.25" customHeight="1" x14ac:dyDescent="0.25">
      <c r="I193" s="111"/>
      <c r="J193" s="111"/>
    </row>
    <row r="194" spans="1:10" ht="15" thickBot="1" x14ac:dyDescent="0.3">
      <c r="A194" s="2" t="s">
        <v>122</v>
      </c>
      <c r="I194" s="111"/>
      <c r="J194" s="111"/>
    </row>
    <row r="195" spans="1:10" ht="15.75" thickBot="1" x14ac:dyDescent="0.3">
      <c r="A195" s="55" t="s">
        <v>13</v>
      </c>
      <c r="B195" s="56" t="s">
        <v>14</v>
      </c>
      <c r="C195" s="56" t="s">
        <v>7</v>
      </c>
      <c r="D195" s="57" t="s">
        <v>15</v>
      </c>
      <c r="E195" s="57" t="s">
        <v>16</v>
      </c>
      <c r="F195" s="58" t="s">
        <v>17</v>
      </c>
      <c r="I195" s="111"/>
      <c r="J195" s="111"/>
    </row>
    <row r="196" spans="1:10" ht="15" thickBot="1" x14ac:dyDescent="0.3">
      <c r="A196" s="59" t="s">
        <v>123</v>
      </c>
      <c r="B196" s="60" t="s">
        <v>121</v>
      </c>
      <c r="C196" s="86">
        <f>C182</f>
        <v>4524</v>
      </c>
      <c r="D196" s="99">
        <v>1.31</v>
      </c>
      <c r="E196" s="62">
        <f>C196*D196</f>
        <v>5926.4400000000005</v>
      </c>
      <c r="I196" s="111"/>
      <c r="J196" s="111"/>
    </row>
    <row r="197" spans="1:10" ht="15.75" thickBot="1" x14ac:dyDescent="0.3">
      <c r="F197" s="108">
        <f>E196</f>
        <v>5926.4400000000005</v>
      </c>
      <c r="I197" s="111"/>
      <c r="J197" s="111"/>
    </row>
    <row r="198" spans="1:10" ht="11.25" customHeight="1" x14ac:dyDescent="0.25">
      <c r="I198" s="111"/>
      <c r="J198" s="111"/>
    </row>
    <row r="199" spans="1:10" ht="15" thickBot="1" x14ac:dyDescent="0.3">
      <c r="A199" s="2" t="s">
        <v>124</v>
      </c>
      <c r="I199" s="111"/>
      <c r="J199" s="111"/>
    </row>
    <row r="200" spans="1:10" ht="15.75" thickBot="1" x14ac:dyDescent="0.3">
      <c r="A200" s="55" t="s">
        <v>13</v>
      </c>
      <c r="B200" s="56" t="s">
        <v>14</v>
      </c>
      <c r="C200" s="56" t="s">
        <v>7</v>
      </c>
      <c r="D200" s="57" t="s">
        <v>15</v>
      </c>
      <c r="E200" s="57" t="s">
        <v>16</v>
      </c>
      <c r="F200" s="58" t="s">
        <v>17</v>
      </c>
      <c r="I200" s="111"/>
      <c r="J200" s="111"/>
    </row>
    <row r="201" spans="1:10" x14ac:dyDescent="0.25">
      <c r="A201" s="59" t="s">
        <v>125</v>
      </c>
      <c r="B201" s="60" t="s">
        <v>45</v>
      </c>
      <c r="C201" s="138">
        <v>6</v>
      </c>
      <c r="D201" s="99">
        <v>2079</v>
      </c>
      <c r="E201" s="62">
        <f>C201*D201</f>
        <v>12474</v>
      </c>
      <c r="I201" s="111"/>
      <c r="J201" s="111"/>
    </row>
    <row r="202" spans="1:10" x14ac:dyDescent="0.25">
      <c r="A202" s="59" t="s">
        <v>126</v>
      </c>
      <c r="B202" s="60" t="s">
        <v>45</v>
      </c>
      <c r="C202" s="138">
        <v>2</v>
      </c>
      <c r="D202" s="139"/>
      <c r="E202" s="62"/>
      <c r="I202" s="111"/>
      <c r="J202" s="111"/>
    </row>
    <row r="203" spans="1:10" x14ac:dyDescent="0.25">
      <c r="A203" s="59" t="s">
        <v>127</v>
      </c>
      <c r="B203" s="60" t="s">
        <v>45</v>
      </c>
      <c r="C203" s="62">
        <f>C201*C202</f>
        <v>12</v>
      </c>
      <c r="D203" s="99">
        <v>750</v>
      </c>
      <c r="E203" s="62">
        <f>C203*D203</f>
        <v>9000</v>
      </c>
      <c r="I203" s="111"/>
      <c r="J203" s="111"/>
    </row>
    <row r="204" spans="1:10" x14ac:dyDescent="0.25">
      <c r="A204" s="63" t="s">
        <v>128</v>
      </c>
      <c r="B204" s="64" t="s">
        <v>129</v>
      </c>
      <c r="C204" s="140">
        <v>75000</v>
      </c>
      <c r="D204" s="66">
        <f>E201+E203</f>
        <v>21474</v>
      </c>
      <c r="E204" s="66">
        <f>IFERROR(D204/C204,"-")</f>
        <v>0.28632000000000002</v>
      </c>
      <c r="I204" s="111"/>
      <c r="J204" s="111"/>
    </row>
    <row r="205" spans="1:10" ht="15" thickBot="1" x14ac:dyDescent="0.3">
      <c r="A205" s="63" t="s">
        <v>130</v>
      </c>
      <c r="B205" s="64" t="s">
        <v>109</v>
      </c>
      <c r="C205" s="86">
        <f>B178</f>
        <v>4524</v>
      </c>
      <c r="D205" s="66">
        <f>E204</f>
        <v>0.28632000000000002</v>
      </c>
      <c r="E205" s="66">
        <f>IFERROR(C205*D205,0)</f>
        <v>1295.31168</v>
      </c>
      <c r="I205" s="111"/>
      <c r="J205" s="111"/>
    </row>
    <row r="206" spans="1:10" ht="15.75" thickBot="1" x14ac:dyDescent="0.3">
      <c r="D206" s="74" t="s">
        <v>31</v>
      </c>
      <c r="E206" s="273">
        <f>B40</f>
        <v>0.625</v>
      </c>
      <c r="F206" s="108">
        <f>E205*E206</f>
        <v>809.56979999999999</v>
      </c>
      <c r="I206" s="111"/>
      <c r="J206" s="111"/>
    </row>
    <row r="207" spans="1:10" ht="11.25" customHeight="1" x14ac:dyDescent="0.25">
      <c r="I207" s="111"/>
      <c r="J207" s="111"/>
    </row>
    <row r="208" spans="1:10" ht="11.25" customHeight="1" thickBot="1" x14ac:dyDescent="0.3">
      <c r="G208" s="2"/>
    </row>
    <row r="209" spans="1:7" ht="15.75" thickBot="1" x14ac:dyDescent="0.3">
      <c r="A209" s="94" t="s">
        <v>131</v>
      </c>
      <c r="B209" s="95"/>
      <c r="C209" s="95"/>
      <c r="D209" s="29"/>
      <c r="E209" s="96"/>
      <c r="F209" s="108">
        <f>+SUM(F206+F197+F192+F174+F166+F149)</f>
        <v>23725.249852575758</v>
      </c>
      <c r="G209" s="2"/>
    </row>
    <row r="210" spans="1:7" x14ac:dyDescent="0.25">
      <c r="G210" s="2"/>
    </row>
    <row r="211" spans="1:7" ht="15" x14ac:dyDescent="0.25">
      <c r="A211" s="15" t="s">
        <v>132</v>
      </c>
      <c r="B211" s="15"/>
      <c r="C211" s="15"/>
      <c r="D211" s="53"/>
      <c r="E211" s="53"/>
      <c r="F211" s="124"/>
      <c r="G211" s="2"/>
    </row>
    <row r="212" spans="1:7" ht="15" thickBot="1" x14ac:dyDescent="0.3">
      <c r="G212" s="2"/>
    </row>
    <row r="213" spans="1:7" ht="15.75" thickBot="1" x14ac:dyDescent="0.3">
      <c r="A213" s="55" t="s">
        <v>13</v>
      </c>
      <c r="B213" s="56" t="s">
        <v>14</v>
      </c>
      <c r="C213" s="56" t="s">
        <v>7</v>
      </c>
      <c r="D213" s="57" t="s">
        <v>15</v>
      </c>
      <c r="E213" s="57" t="s">
        <v>16</v>
      </c>
      <c r="F213" s="58" t="s">
        <v>17</v>
      </c>
      <c r="G213" s="2"/>
    </row>
    <row r="214" spans="1:7" x14ac:dyDescent="0.25">
      <c r="A214" s="63" t="s">
        <v>133</v>
      </c>
      <c r="B214" s="64" t="s">
        <v>45</v>
      </c>
      <c r="C214" s="98">
        <v>0.16666666666666666</v>
      </c>
      <c r="D214" s="99">
        <v>127</v>
      </c>
      <c r="E214" s="66">
        <f>C214*D214</f>
        <v>21.166666666666664</v>
      </c>
      <c r="F214" s="141"/>
      <c r="G214" s="2"/>
    </row>
    <row r="215" spans="1:7" x14ac:dyDescent="0.25">
      <c r="A215" s="63" t="s">
        <v>134</v>
      </c>
      <c r="B215" s="64" t="s">
        <v>45</v>
      </c>
      <c r="C215" s="98">
        <v>0.33333333333333331</v>
      </c>
      <c r="D215" s="99">
        <v>35</v>
      </c>
      <c r="E215" s="66">
        <f>C215*D215</f>
        <v>11.666666666666666</v>
      </c>
      <c r="F215" s="141"/>
      <c r="G215" s="2"/>
    </row>
    <row r="216" spans="1:7" ht="15" thickBot="1" x14ac:dyDescent="0.3">
      <c r="A216" s="63" t="s">
        <v>135</v>
      </c>
      <c r="B216" s="64" t="s">
        <v>45</v>
      </c>
      <c r="C216" s="98">
        <v>0.33333333333333331</v>
      </c>
      <c r="D216" s="99">
        <v>42</v>
      </c>
      <c r="E216" s="66">
        <f>C216*D216</f>
        <v>14</v>
      </c>
      <c r="F216" s="141"/>
      <c r="G216" s="2"/>
    </row>
    <row r="217" spans="1:7" ht="15.75" thickBot="1" x14ac:dyDescent="0.3">
      <c r="A217" s="15"/>
      <c r="B217" s="15"/>
      <c r="C217" s="15"/>
      <c r="D217" s="15"/>
      <c r="E217" s="53"/>
      <c r="F217" s="108">
        <f>SUM(E214:E216)</f>
        <v>46.833333333333329</v>
      </c>
      <c r="G217" s="2"/>
    </row>
    <row r="218" spans="1:7" ht="15" thickBot="1" x14ac:dyDescent="0.3">
      <c r="G218" s="2"/>
    </row>
    <row r="219" spans="1:7" ht="15.75" thickBot="1" x14ac:dyDescent="0.3">
      <c r="A219" s="94" t="s">
        <v>136</v>
      </c>
      <c r="B219" s="95"/>
      <c r="C219" s="95"/>
      <c r="D219" s="29"/>
      <c r="E219" s="96"/>
      <c r="F219" s="108">
        <f>+F217</f>
        <v>46.833333333333329</v>
      </c>
      <c r="G219" s="2"/>
    </row>
    <row r="220" spans="1:7" x14ac:dyDescent="0.25">
      <c r="G220" s="2"/>
    </row>
    <row r="221" spans="1:7" ht="15.75" thickBot="1" x14ac:dyDescent="0.3">
      <c r="A221" s="15" t="s">
        <v>137</v>
      </c>
      <c r="G221" s="2"/>
    </row>
    <row r="222" spans="1:7" ht="15.75" thickBot="1" x14ac:dyDescent="0.3">
      <c r="A222" s="55" t="s">
        <v>13</v>
      </c>
      <c r="B222" s="56" t="s">
        <v>14</v>
      </c>
      <c r="C222" s="56" t="s">
        <v>7</v>
      </c>
      <c r="D222" s="57" t="s">
        <v>15</v>
      </c>
      <c r="E222" s="57" t="s">
        <v>16</v>
      </c>
      <c r="F222" s="58" t="s">
        <v>17</v>
      </c>
      <c r="G222" s="2"/>
    </row>
    <row r="223" spans="1:7" x14ac:dyDescent="0.25">
      <c r="A223" s="63" t="s">
        <v>138</v>
      </c>
      <c r="B223" s="63" t="s">
        <v>45</v>
      </c>
      <c r="C223" s="63">
        <v>1</v>
      </c>
      <c r="D223" s="75">
        <v>350</v>
      </c>
      <c r="E223" s="75">
        <f>D223*C223</f>
        <v>350</v>
      </c>
      <c r="G223" s="2"/>
    </row>
    <row r="224" spans="1:7" x14ac:dyDescent="0.25">
      <c r="A224" s="63" t="s">
        <v>139</v>
      </c>
      <c r="B224" s="64" t="s">
        <v>140</v>
      </c>
      <c r="C224" s="98">
        <v>0.16666666666666666</v>
      </c>
      <c r="D224" s="126">
        <v>150</v>
      </c>
      <c r="E224" s="66">
        <f>C224*D224</f>
        <v>25</v>
      </c>
      <c r="G224" s="2"/>
    </row>
    <row r="225" spans="1:7" x14ac:dyDescent="0.25">
      <c r="A225" s="63" t="s">
        <v>141</v>
      </c>
      <c r="B225" s="64" t="s">
        <v>140</v>
      </c>
      <c r="C225" s="98">
        <v>0.16666666666666666</v>
      </c>
      <c r="D225" s="126">
        <v>50</v>
      </c>
      <c r="E225" s="66">
        <f>C225*D225</f>
        <v>8.3333333333333321</v>
      </c>
      <c r="G225" s="2"/>
    </row>
    <row r="226" spans="1:7" ht="15" x14ac:dyDescent="0.25">
      <c r="F226" s="142">
        <f>SUM(E223+E224+E225)</f>
        <v>383.33333333333331</v>
      </c>
      <c r="G226" s="2"/>
    </row>
    <row r="227" spans="1:7" ht="15" thickBot="1" x14ac:dyDescent="0.3">
      <c r="G227" s="2"/>
    </row>
    <row r="228" spans="1:7" ht="15.75" thickBot="1" x14ac:dyDescent="0.3">
      <c r="A228" s="94" t="s">
        <v>142</v>
      </c>
      <c r="B228" s="95"/>
      <c r="C228" s="95"/>
      <c r="D228" s="29"/>
      <c r="E228" s="29"/>
      <c r="F228" s="143">
        <f>F226</f>
        <v>383.33333333333331</v>
      </c>
      <c r="G228" s="2"/>
    </row>
    <row r="229" spans="1:7" x14ac:dyDescent="0.25">
      <c r="G229" s="2"/>
    </row>
    <row r="230" spans="1:7" ht="15" x14ac:dyDescent="0.25">
      <c r="A230" s="15" t="s">
        <v>143</v>
      </c>
      <c r="B230" s="15"/>
      <c r="C230" s="15"/>
      <c r="D230" s="53"/>
      <c r="E230" s="53"/>
      <c r="F230" s="124"/>
    </row>
    <row r="231" spans="1:7" ht="15" thickBot="1" x14ac:dyDescent="0.3"/>
    <row r="232" spans="1:7" ht="15.75" thickBot="1" x14ac:dyDescent="0.3">
      <c r="A232" s="55" t="s">
        <v>13</v>
      </c>
      <c r="B232" s="56" t="s">
        <v>14</v>
      </c>
      <c r="C232" s="56" t="s">
        <v>7</v>
      </c>
      <c r="D232" s="57" t="s">
        <v>15</v>
      </c>
      <c r="E232" s="57" t="s">
        <v>16</v>
      </c>
      <c r="F232" s="58" t="s">
        <v>17</v>
      </c>
    </row>
    <row r="233" spans="1:7" x14ac:dyDescent="0.25">
      <c r="A233" s="63" t="s">
        <v>144</v>
      </c>
      <c r="B233" s="64" t="s">
        <v>140</v>
      </c>
      <c r="C233" s="104">
        <f>C136</f>
        <v>1</v>
      </c>
      <c r="D233" s="126">
        <v>250</v>
      </c>
      <c r="E233" s="66">
        <f>+D233*C233</f>
        <v>250</v>
      </c>
      <c r="F233" s="141"/>
    </row>
    <row r="234" spans="1:7" ht="15" thickBot="1" x14ac:dyDescent="0.3">
      <c r="A234" s="63" t="s">
        <v>145</v>
      </c>
      <c r="B234" s="64" t="s">
        <v>19</v>
      </c>
      <c r="C234" s="64">
        <v>1</v>
      </c>
      <c r="D234" s="148">
        <v>69</v>
      </c>
      <c r="E234" s="144" t="s">
        <v>97</v>
      </c>
      <c r="F234" s="141"/>
    </row>
    <row r="235" spans="1:7" ht="15.75" thickBot="1" x14ac:dyDescent="0.3">
      <c r="D235" s="74" t="s">
        <v>31</v>
      </c>
      <c r="E235" s="75">
        <f>B39</f>
        <v>0.36930000000000002</v>
      </c>
      <c r="F235" s="145">
        <f>E233*E235+D234</f>
        <v>161.32499999999999</v>
      </c>
    </row>
    <row r="236" spans="1:7" s="147" customFormat="1" ht="15" thickBot="1" x14ac:dyDescent="0.3">
      <c r="A236" s="2"/>
      <c r="B236" s="2"/>
      <c r="C236" s="2"/>
      <c r="D236" s="1"/>
      <c r="E236" s="1"/>
      <c r="F236" s="1"/>
      <c r="G236" s="146"/>
    </row>
    <row r="237" spans="1:7" ht="15.75" thickBot="1" x14ac:dyDescent="0.3">
      <c r="A237" s="94" t="s">
        <v>146</v>
      </c>
      <c r="B237" s="95"/>
      <c r="C237" s="95"/>
      <c r="D237" s="29"/>
      <c r="E237" s="96"/>
      <c r="F237" s="108">
        <f>+F235</f>
        <v>161.32499999999999</v>
      </c>
    </row>
    <row r="238" spans="1:7" ht="15" thickBot="1" x14ac:dyDescent="0.3"/>
    <row r="239" spans="1:7" ht="15.75" thickBot="1" x14ac:dyDescent="0.3">
      <c r="A239" s="94" t="s">
        <v>147</v>
      </c>
      <c r="B239" s="105"/>
      <c r="C239" s="105"/>
      <c r="D239" s="106"/>
      <c r="E239" s="107"/>
      <c r="F239" s="90">
        <f>+F92+F128+F209+F237+F228+F219</f>
        <v>32509.474218324689</v>
      </c>
    </row>
    <row r="241" spans="1:6" ht="15" x14ac:dyDescent="0.25">
      <c r="A241" s="15" t="s">
        <v>148</v>
      </c>
    </row>
    <row r="242" spans="1:6" ht="15.75" thickBot="1" x14ac:dyDescent="0.3">
      <c r="A242" s="15"/>
    </row>
    <row r="243" spans="1:6" ht="15.75" thickBot="1" x14ac:dyDescent="0.3">
      <c r="A243" s="55" t="s">
        <v>13</v>
      </c>
      <c r="B243" s="56" t="s">
        <v>14</v>
      </c>
      <c r="C243" s="56" t="s">
        <v>7</v>
      </c>
      <c r="D243" s="57" t="s">
        <v>15</v>
      </c>
      <c r="E243" s="57" t="s">
        <v>16</v>
      </c>
      <c r="F243" s="58" t="s">
        <v>149</v>
      </c>
    </row>
    <row r="244" spans="1:6" ht="15" thickBot="1" x14ac:dyDescent="0.3">
      <c r="A244" s="63" t="s">
        <v>150</v>
      </c>
      <c r="B244" s="64" t="s">
        <v>151</v>
      </c>
      <c r="C244" s="64">
        <v>47</v>
      </c>
      <c r="D244" s="148">
        <v>185</v>
      </c>
      <c r="E244" s="144">
        <f>C244*D244</f>
        <v>8695</v>
      </c>
      <c r="F244" s="141"/>
    </row>
    <row r="245" spans="1:6" ht="15.75" thickBot="1" x14ac:dyDescent="0.3">
      <c r="A245" s="149"/>
      <c r="B245" s="150"/>
      <c r="C245" s="151"/>
      <c r="D245" s="151"/>
      <c r="E245" s="152"/>
      <c r="F245" s="153">
        <f>E244</f>
        <v>8695</v>
      </c>
    </row>
    <row r="246" spans="1:6" ht="15" thickBot="1" x14ac:dyDescent="0.3">
      <c r="A246" s="151"/>
      <c r="B246" s="151"/>
      <c r="C246" s="151"/>
      <c r="D246" s="151"/>
      <c r="E246" s="152"/>
      <c r="F246" s="152"/>
    </row>
    <row r="247" spans="1:6" ht="15.75" thickBot="1" x14ac:dyDescent="0.3">
      <c r="A247" s="94" t="s">
        <v>152</v>
      </c>
      <c r="B247" s="105"/>
      <c r="C247" s="105"/>
      <c r="D247" s="106"/>
      <c r="E247" s="107"/>
      <c r="F247" s="90">
        <f>F245</f>
        <v>8695</v>
      </c>
    </row>
    <row r="248" spans="1:6" ht="15" x14ac:dyDescent="0.25">
      <c r="A248" s="15"/>
      <c r="D248" s="44"/>
      <c r="E248" s="44"/>
    </row>
    <row r="249" spans="1:6" ht="15" x14ac:dyDescent="0.25">
      <c r="A249" s="15" t="s">
        <v>153</v>
      </c>
    </row>
    <row r="250" spans="1:6" ht="11.25" customHeight="1" thickBot="1" x14ac:dyDescent="0.3"/>
    <row r="251" spans="1:6" ht="15.75" thickBot="1" x14ac:dyDescent="0.3">
      <c r="A251" s="55" t="s">
        <v>13</v>
      </c>
      <c r="B251" s="56" t="s">
        <v>14</v>
      </c>
      <c r="C251" s="56" t="s">
        <v>7</v>
      </c>
      <c r="D251" s="57" t="s">
        <v>15</v>
      </c>
      <c r="E251" s="57" t="s">
        <v>16</v>
      </c>
      <c r="F251" s="58" t="s">
        <v>17</v>
      </c>
    </row>
    <row r="252" spans="1:6" ht="15" thickBot="1" x14ac:dyDescent="0.3">
      <c r="A252" s="59" t="s">
        <v>154</v>
      </c>
      <c r="B252" s="60" t="s">
        <v>3</v>
      </c>
      <c r="C252" s="267">
        <f>BDI!C14</f>
        <v>0.31640000000000001</v>
      </c>
      <c r="D252" s="62">
        <f>+F239</f>
        <v>32509.474218324689</v>
      </c>
      <c r="E252" s="62">
        <f>C252*D252</f>
        <v>10285.997642677932</v>
      </c>
    </row>
    <row r="253" spans="1:6" ht="15.75" thickBot="1" x14ac:dyDescent="0.3">
      <c r="F253" s="108">
        <f>+E252</f>
        <v>10285.997642677932</v>
      </c>
    </row>
    <row r="254" spans="1:6" ht="11.25" customHeight="1" thickBot="1" x14ac:dyDescent="0.3"/>
    <row r="255" spans="1:6" ht="15.75" thickBot="1" x14ac:dyDescent="0.3">
      <c r="A255" s="94" t="s">
        <v>155</v>
      </c>
      <c r="B255" s="105"/>
      <c r="C255" s="105"/>
      <c r="D255" s="106"/>
      <c r="E255" s="107"/>
      <c r="F255" s="90">
        <f>F253</f>
        <v>10285.997642677932</v>
      </c>
    </row>
    <row r="256" spans="1:6" ht="15" x14ac:dyDescent="0.25">
      <c r="A256" s="15"/>
      <c r="B256" s="15"/>
      <c r="C256" s="15"/>
      <c r="D256" s="53"/>
      <c r="E256" s="53"/>
      <c r="F256" s="124"/>
    </row>
    <row r="257" spans="1:6" ht="11.25" customHeight="1" thickBot="1" x14ac:dyDescent="0.3"/>
    <row r="258" spans="1:6" ht="24.75" customHeight="1" thickBot="1" x14ac:dyDescent="0.3">
      <c r="A258" s="94" t="s">
        <v>156</v>
      </c>
      <c r="B258" s="105"/>
      <c r="C258" s="105"/>
      <c r="D258" s="106"/>
      <c r="E258" s="107"/>
      <c r="F258" s="90">
        <f>F239+F255+F247</f>
        <v>51490.471861002618</v>
      </c>
    </row>
    <row r="259" spans="1:6" ht="22.15" customHeight="1" x14ac:dyDescent="0.25">
      <c r="A259" s="15" t="s">
        <v>157</v>
      </c>
      <c r="B259" s="154" t="s">
        <v>157</v>
      </c>
      <c r="C259" s="15"/>
      <c r="D259" s="53"/>
      <c r="E259" s="53"/>
      <c r="F259" s="53"/>
    </row>
    <row r="260" spans="1:6" ht="64.150000000000006" customHeight="1" x14ac:dyDescent="0.25">
      <c r="B260" s="275"/>
      <c r="C260" s="275"/>
      <c r="D260" s="275"/>
    </row>
    <row r="261" spans="1:6" x14ac:dyDescent="0.25">
      <c r="B261" s="2" t="s">
        <v>295</v>
      </c>
    </row>
    <row r="262" spans="1:6" x14ac:dyDescent="0.25">
      <c r="B262" s="2" t="s">
        <v>296</v>
      </c>
    </row>
    <row r="263" spans="1:6" x14ac:dyDescent="0.25">
      <c r="B263" s="274" t="s">
        <v>297</v>
      </c>
    </row>
    <row r="289" s="2" customFormat="1" ht="9" customHeight="1" x14ac:dyDescent="0.25"/>
  </sheetData>
  <mergeCells count="9">
    <mergeCell ref="B260:D260"/>
    <mergeCell ref="A35:D35"/>
    <mergeCell ref="A1:F1"/>
    <mergeCell ref="A2:F2"/>
    <mergeCell ref="A4:F4"/>
    <mergeCell ref="A12:C12"/>
    <mergeCell ref="A29:E29"/>
    <mergeCell ref="A30:D30"/>
    <mergeCell ref="A3:F3"/>
  </mergeCells>
  <hyperlinks>
    <hyperlink ref="A151" location="AbaRemun" display="3.1.2. Remuneração do Capital" xr:uid="{00000000-0004-0000-0000-000000000000}"/>
    <hyperlink ref="A134" location="AbaDeprec" display="3.1.1. Depreciação" xr:uid="{00000000-0004-0000-0000-000001000000}"/>
  </hyperlinks>
  <pageMargins left="0.511811024" right="0.511811024" top="0.78740157499999996" bottom="0.78740157499999996" header="0.31496062000000002" footer="0.31496062000000002"/>
  <pageSetup fitToHeight="0" orientation="portrait" r:id="rId1"/>
  <headerFooter>
    <oddHeader xml:space="preserve">&amp;C&amp;"Arial,Itálico"PREFEITURA MUNICIPAL DE JÓIA 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view="pageLayout" topLeftCell="A20" zoomScaleNormal="100" workbookViewId="0">
      <selection sqref="A1:C32"/>
    </sheetView>
  </sheetViews>
  <sheetFormatPr defaultColWidth="9.140625" defaultRowHeight="14.25" x14ac:dyDescent="0.2"/>
  <cols>
    <col min="1" max="1" width="13.5703125" style="103" customWidth="1"/>
    <col min="2" max="2" width="39.5703125" style="103" bestFit="1" customWidth="1"/>
    <col min="3" max="3" width="20.85546875" style="103" customWidth="1"/>
    <col min="4" max="4" width="37.28515625" style="103" customWidth="1"/>
    <col min="5" max="10" width="9.140625" style="103"/>
    <col min="11" max="11" width="11" style="103" bestFit="1" customWidth="1"/>
    <col min="12" max="16384" width="9.140625" style="103"/>
  </cols>
  <sheetData>
    <row r="1" spans="1:7" s="2" customFormat="1" ht="15.75" thickBot="1" x14ac:dyDescent="0.3">
      <c r="A1" s="43"/>
      <c r="B1" s="3"/>
      <c r="C1" s="3"/>
      <c r="D1" s="1"/>
      <c r="E1" s="1"/>
      <c r="F1" s="1"/>
      <c r="G1" s="1"/>
    </row>
    <row r="2" spans="1:7" ht="15" x14ac:dyDescent="0.2">
      <c r="A2" s="295" t="s">
        <v>158</v>
      </c>
      <c r="B2" s="296"/>
      <c r="C2" s="297"/>
      <c r="D2" s="15"/>
      <c r="E2" s="15"/>
      <c r="F2" s="15"/>
    </row>
    <row r="3" spans="1:7" x14ac:dyDescent="0.2">
      <c r="A3" s="155" t="s">
        <v>159</v>
      </c>
      <c r="B3" s="156" t="s">
        <v>160</v>
      </c>
      <c r="C3" s="157" t="s">
        <v>161</v>
      </c>
      <c r="D3" s="158"/>
    </row>
    <row r="4" spans="1:7" x14ac:dyDescent="0.2">
      <c r="A4" s="155" t="s">
        <v>162</v>
      </c>
      <c r="B4" s="156" t="s">
        <v>163</v>
      </c>
      <c r="C4" s="159">
        <v>0.2</v>
      </c>
      <c r="D4" s="158"/>
    </row>
    <row r="5" spans="1:7" x14ac:dyDescent="0.2">
      <c r="A5" s="155" t="s">
        <v>164</v>
      </c>
      <c r="B5" s="156" t="s">
        <v>165</v>
      </c>
      <c r="C5" s="159">
        <v>1.4999999999999999E-2</v>
      </c>
      <c r="D5" s="158"/>
    </row>
    <row r="6" spans="1:7" x14ac:dyDescent="0.2">
      <c r="A6" s="155" t="s">
        <v>166</v>
      </c>
      <c r="B6" s="156" t="s">
        <v>167</v>
      </c>
      <c r="C6" s="159">
        <v>0.01</v>
      </c>
      <c r="D6" s="158"/>
    </row>
    <row r="7" spans="1:7" x14ac:dyDescent="0.2">
      <c r="A7" s="155" t="s">
        <v>168</v>
      </c>
      <c r="B7" s="156" t="s">
        <v>169</v>
      </c>
      <c r="C7" s="159">
        <v>2E-3</v>
      </c>
      <c r="D7" s="158"/>
    </row>
    <row r="8" spans="1:7" x14ac:dyDescent="0.2">
      <c r="A8" s="155" t="s">
        <v>170</v>
      </c>
      <c r="B8" s="156" t="s">
        <v>171</v>
      </c>
      <c r="C8" s="159">
        <v>6.0000000000000001E-3</v>
      </c>
      <c r="D8" s="158"/>
    </row>
    <row r="9" spans="1:7" x14ac:dyDescent="0.2">
      <c r="A9" s="155" t="s">
        <v>172</v>
      </c>
      <c r="B9" s="156" t="s">
        <v>173</v>
      </c>
      <c r="C9" s="159">
        <v>2.5000000000000001E-2</v>
      </c>
      <c r="D9" s="158"/>
    </row>
    <row r="10" spans="1:7" x14ac:dyDescent="0.2">
      <c r="A10" s="155" t="s">
        <v>174</v>
      </c>
      <c r="B10" s="156" t="s">
        <v>175</v>
      </c>
      <c r="C10" s="159">
        <v>0.03</v>
      </c>
      <c r="D10" s="158"/>
    </row>
    <row r="11" spans="1:7" x14ac:dyDescent="0.2">
      <c r="A11" s="155" t="s">
        <v>176</v>
      </c>
      <c r="B11" s="156" t="s">
        <v>177</v>
      </c>
      <c r="C11" s="159">
        <v>0.08</v>
      </c>
      <c r="D11" s="158"/>
    </row>
    <row r="12" spans="1:7" ht="15" x14ac:dyDescent="0.2">
      <c r="A12" s="155" t="s">
        <v>178</v>
      </c>
      <c r="B12" s="160" t="s">
        <v>179</v>
      </c>
      <c r="C12" s="161">
        <f>SUM(C4:C11)</f>
        <v>0.36800000000000005</v>
      </c>
      <c r="D12" s="158"/>
    </row>
    <row r="13" spans="1:7" ht="15" x14ac:dyDescent="0.2">
      <c r="A13" s="162"/>
      <c r="B13" s="163"/>
      <c r="C13" s="164"/>
      <c r="D13" s="158"/>
    </row>
    <row r="14" spans="1:7" x14ac:dyDescent="0.2">
      <c r="A14" s="155" t="s">
        <v>180</v>
      </c>
      <c r="B14" s="165" t="s">
        <v>181</v>
      </c>
      <c r="C14" s="166">
        <v>6.1899999999999997E-2</v>
      </c>
      <c r="D14" s="158"/>
    </row>
    <row r="15" spans="1:7" x14ac:dyDescent="0.2">
      <c r="A15" s="155" t="s">
        <v>182</v>
      </c>
      <c r="B15" s="165" t="s">
        <v>183</v>
      </c>
      <c r="C15" s="166">
        <f>ROUND('[2]5.CAGED'!C36/'[2]5.CAGED'!C33,4)</f>
        <v>8.3299999999999999E-2</v>
      </c>
      <c r="D15" s="158"/>
    </row>
    <row r="16" spans="1:7" x14ac:dyDescent="0.2">
      <c r="A16" s="155" t="s">
        <v>184</v>
      </c>
      <c r="B16" s="165" t="s">
        <v>185</v>
      </c>
      <c r="C16" s="166">
        <v>5.9999999999999995E-4</v>
      </c>
      <c r="D16" s="158"/>
    </row>
    <row r="17" spans="1:8" x14ac:dyDescent="0.2">
      <c r="A17" s="155" t="s">
        <v>186</v>
      </c>
      <c r="B17" s="165" t="s">
        <v>187</v>
      </c>
      <c r="C17" s="166">
        <v>8.2000000000000007E-3</v>
      </c>
      <c r="D17" s="158"/>
    </row>
    <row r="18" spans="1:8" x14ac:dyDescent="0.2">
      <c r="A18" s="155" t="s">
        <v>188</v>
      </c>
      <c r="B18" s="165" t="s">
        <v>189</v>
      </c>
      <c r="C18" s="166">
        <v>3.0999999999999999E-3</v>
      </c>
      <c r="D18" s="158"/>
    </row>
    <row r="19" spans="1:8" x14ac:dyDescent="0.2">
      <c r="A19" s="155" t="s">
        <v>190</v>
      </c>
      <c r="B19" s="165" t="s">
        <v>191</v>
      </c>
      <c r="C19" s="166">
        <v>1.66E-2</v>
      </c>
      <c r="D19" s="158"/>
    </row>
    <row r="20" spans="1:8" ht="15" x14ac:dyDescent="0.2">
      <c r="A20" s="155" t="s">
        <v>192</v>
      </c>
      <c r="B20" s="160" t="s">
        <v>193</v>
      </c>
      <c r="C20" s="167">
        <f>SUM(C14:C19)</f>
        <v>0.17369999999999999</v>
      </c>
      <c r="D20" s="158"/>
    </row>
    <row r="21" spans="1:8" ht="15" x14ac:dyDescent="0.2">
      <c r="A21" s="162"/>
      <c r="B21" s="163"/>
      <c r="C21" s="164"/>
      <c r="D21" s="158"/>
    </row>
    <row r="22" spans="1:8" x14ac:dyDescent="0.2">
      <c r="A22" s="155" t="s">
        <v>194</v>
      </c>
      <c r="B22" s="156" t="s">
        <v>195</v>
      </c>
      <c r="C22" s="166">
        <v>2.5600000000000001E-2</v>
      </c>
      <c r="D22" s="158"/>
      <c r="E22" s="168"/>
    </row>
    <row r="23" spans="1:8" x14ac:dyDescent="0.2">
      <c r="A23" s="155" t="s">
        <v>196</v>
      </c>
      <c r="B23" s="156" t="s">
        <v>197</v>
      </c>
      <c r="C23" s="166">
        <v>4.9200000000000001E-2</v>
      </c>
      <c r="D23" s="158"/>
      <c r="H23" s="169"/>
    </row>
    <row r="24" spans="1:8" x14ac:dyDescent="0.2">
      <c r="A24" s="155" t="s">
        <v>198</v>
      </c>
      <c r="B24" s="156" t="s">
        <v>199</v>
      </c>
      <c r="C24" s="166">
        <f>C22*C23</f>
        <v>1.2595200000000001E-3</v>
      </c>
      <c r="D24" s="158"/>
      <c r="E24" s="168"/>
    </row>
    <row r="25" spans="1:8" x14ac:dyDescent="0.2">
      <c r="A25" s="155" t="s">
        <v>200</v>
      </c>
      <c r="B25" s="156" t="s">
        <v>201</v>
      </c>
      <c r="C25" s="166">
        <v>2.0500000000000001E-2</v>
      </c>
      <c r="D25" s="158"/>
      <c r="G25" s="168"/>
    </row>
    <row r="26" spans="1:8" x14ac:dyDescent="0.2">
      <c r="A26" s="155" t="s">
        <v>202</v>
      </c>
      <c r="B26" s="156" t="s">
        <v>203</v>
      </c>
      <c r="C26" s="166">
        <v>1.8E-3</v>
      </c>
      <c r="D26" s="158"/>
    </row>
    <row r="27" spans="1:8" ht="15" x14ac:dyDescent="0.2">
      <c r="A27" s="155" t="s">
        <v>204</v>
      </c>
      <c r="B27" s="160" t="s">
        <v>205</v>
      </c>
      <c r="C27" s="167">
        <f>SUM(C22:C26)</f>
        <v>9.8359520000000006E-2</v>
      </c>
      <c r="D27" s="158"/>
    </row>
    <row r="28" spans="1:8" ht="15" x14ac:dyDescent="0.2">
      <c r="A28" s="162"/>
      <c r="B28" s="163"/>
      <c r="C28" s="164"/>
      <c r="D28" s="158"/>
    </row>
    <row r="29" spans="1:8" x14ac:dyDescent="0.2">
      <c r="A29" s="155" t="s">
        <v>206</v>
      </c>
      <c r="B29" s="156" t="s">
        <v>207</v>
      </c>
      <c r="C29" s="159">
        <f>ROUND(C12*C20,4)</f>
        <v>6.3899999999999998E-2</v>
      </c>
      <c r="D29" s="158"/>
    </row>
    <row r="30" spans="1:8" ht="28.5" x14ac:dyDescent="0.2">
      <c r="A30" s="155" t="s">
        <v>208</v>
      </c>
      <c r="B30" s="170" t="s">
        <v>209</v>
      </c>
      <c r="C30" s="159">
        <f>ROUND((C22*C11),4)</f>
        <v>2E-3</v>
      </c>
      <c r="D30" s="158"/>
    </row>
    <row r="31" spans="1:8" ht="15" x14ac:dyDescent="0.2">
      <c r="A31" s="155" t="s">
        <v>210</v>
      </c>
      <c r="B31" s="160" t="s">
        <v>211</v>
      </c>
      <c r="C31" s="167">
        <f>SUM(C29:C30)</f>
        <v>6.59E-2</v>
      </c>
      <c r="D31" s="158"/>
    </row>
    <row r="32" spans="1:8" ht="15.75" thickBot="1" x14ac:dyDescent="0.25">
      <c r="A32" s="171"/>
      <c r="B32" s="172" t="s">
        <v>212</v>
      </c>
      <c r="C32" s="173">
        <f>C31+C27+C20+C12</f>
        <v>0.70595951999999995</v>
      </c>
      <c r="D32" s="158"/>
    </row>
    <row r="33" spans="1:4" ht="15" x14ac:dyDescent="0.2">
      <c r="A33" s="158"/>
      <c r="B33" s="174"/>
      <c r="C33" s="175"/>
      <c r="D33" s="176"/>
    </row>
    <row r="34" spans="1:4" x14ac:dyDescent="0.2">
      <c r="A34" s="158"/>
      <c r="B34" s="158"/>
      <c r="C34" s="177"/>
      <c r="D34" s="176"/>
    </row>
    <row r="35" spans="1:4" x14ac:dyDescent="0.2">
      <c r="A35" s="158"/>
      <c r="B35" s="158"/>
      <c r="C35" s="177"/>
      <c r="D35" s="158"/>
    </row>
    <row r="36" spans="1:4" x14ac:dyDescent="0.2">
      <c r="A36" s="158"/>
      <c r="B36" s="158"/>
      <c r="C36" s="177"/>
      <c r="D36" s="158"/>
    </row>
    <row r="37" spans="1:4" x14ac:dyDescent="0.2">
      <c r="A37" s="158"/>
      <c r="B37" s="158"/>
      <c r="C37" s="177"/>
      <c r="D37" s="158"/>
    </row>
    <row r="38" spans="1:4" ht="15" x14ac:dyDescent="0.2">
      <c r="A38" s="158"/>
      <c r="B38" s="174"/>
      <c r="C38" s="175"/>
      <c r="D38" s="158"/>
    </row>
    <row r="39" spans="1:4" ht="15" x14ac:dyDescent="0.2">
      <c r="A39" s="158"/>
      <c r="B39" s="174"/>
      <c r="C39" s="175"/>
      <c r="D39" s="158"/>
    </row>
    <row r="40" spans="1:4" x14ac:dyDescent="0.2">
      <c r="A40" s="178"/>
    </row>
    <row r="41" spans="1:4" x14ac:dyDescent="0.2">
      <c r="A41" s="179"/>
      <c r="B41" s="180"/>
      <c r="C41" s="180"/>
    </row>
    <row r="42" spans="1:4" x14ac:dyDescent="0.2">
      <c r="A42" s="158"/>
      <c r="B42" s="181"/>
      <c r="C42" s="180"/>
    </row>
    <row r="43" spans="1:4" x14ac:dyDescent="0.2">
      <c r="A43" s="158"/>
      <c r="B43" s="181"/>
      <c r="C43" s="158"/>
    </row>
    <row r="44" spans="1:4" x14ac:dyDescent="0.2">
      <c r="A44" s="158"/>
      <c r="B44" s="177"/>
      <c r="C44" s="180"/>
    </row>
    <row r="45" spans="1:4" x14ac:dyDescent="0.2">
      <c r="A45" s="158"/>
      <c r="B45" s="181"/>
      <c r="C45" s="158"/>
    </row>
    <row r="46" spans="1:4" x14ac:dyDescent="0.2">
      <c r="A46" s="158"/>
      <c r="B46" s="177"/>
      <c r="C46" s="180"/>
    </row>
    <row r="47" spans="1:4" x14ac:dyDescent="0.2">
      <c r="A47" s="158"/>
      <c r="B47" s="181"/>
      <c r="C47" s="158"/>
    </row>
    <row r="48" spans="1:4" x14ac:dyDescent="0.2">
      <c r="A48" s="158"/>
      <c r="B48" s="177"/>
      <c r="C48" s="180"/>
    </row>
    <row r="49" spans="1:3" x14ac:dyDescent="0.2">
      <c r="A49" s="158"/>
      <c r="B49" s="181"/>
      <c r="C49" s="158"/>
    </row>
    <row r="50" spans="1:3" x14ac:dyDescent="0.2">
      <c r="A50" s="158"/>
      <c r="B50" s="177"/>
      <c r="C50" s="180"/>
    </row>
    <row r="51" spans="1:3" x14ac:dyDescent="0.2">
      <c r="A51" s="178"/>
    </row>
    <row r="54" spans="1:3" x14ac:dyDescent="0.2">
      <c r="A54" s="182"/>
    </row>
  </sheetData>
  <mergeCells count="1">
    <mergeCell ref="A2:C2"/>
  </mergeCells>
  <pageMargins left="0.511811024" right="0.511811024" top="0.78740157499999996" bottom="0.78740157499999996" header="0.31496062000000002" footer="0.31496062000000002"/>
  <pageSetup orientation="portrait" r:id="rId1"/>
  <headerFooter>
    <oddHeader>&amp;C&amp;"Arial,Itálico"PREFEITURA MUNICIPAL JÓIA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view="pageLayout" zoomScaleNormal="100" workbookViewId="0">
      <selection activeCell="D12" sqref="D12"/>
    </sheetView>
  </sheetViews>
  <sheetFormatPr defaultColWidth="8.85546875" defaultRowHeight="14.25" x14ac:dyDescent="0.2"/>
  <cols>
    <col min="1" max="1" width="41.85546875" style="103" bestFit="1" customWidth="1"/>
    <col min="2" max="2" width="5.5703125" style="103" bestFit="1" customWidth="1"/>
    <col min="3" max="3" width="8.85546875" style="103"/>
    <col min="4" max="4" width="9.7109375" style="103" bestFit="1" customWidth="1"/>
    <col min="5" max="5" width="8" style="183" bestFit="1" customWidth="1"/>
    <col min="6" max="6" width="9.7109375" style="103" bestFit="1" customWidth="1"/>
    <col min="7" max="16384" width="8.85546875" style="103"/>
  </cols>
  <sheetData>
    <row r="1" spans="1:6" ht="15" thickBot="1" x14ac:dyDescent="0.25">
      <c r="B1" s="2"/>
      <c r="C1" s="2"/>
    </row>
    <row r="2" spans="1:6" ht="15" x14ac:dyDescent="0.2">
      <c r="A2" s="298" t="s">
        <v>213</v>
      </c>
      <c r="B2" s="299"/>
      <c r="C2" s="299"/>
      <c r="D2" s="299"/>
      <c r="E2" s="299"/>
      <c r="F2" s="300"/>
    </row>
    <row r="3" spans="1:6" ht="15.75" thickBot="1" x14ac:dyDescent="0.25">
      <c r="A3" s="184"/>
      <c r="B3" s="70"/>
      <c r="C3" s="70"/>
      <c r="D3" s="70"/>
      <c r="E3" s="70"/>
      <c r="F3" s="185"/>
    </row>
    <row r="4" spans="1:6" ht="15" x14ac:dyDescent="0.25">
      <c r="A4" s="186"/>
      <c r="B4" s="2"/>
      <c r="C4" s="2"/>
      <c r="D4" s="301" t="s">
        <v>214</v>
      </c>
      <c r="E4" s="302"/>
      <c r="F4" s="303"/>
    </row>
    <row r="5" spans="1:6" ht="15" thickBot="1" x14ac:dyDescent="0.25">
      <c r="A5" s="187"/>
      <c r="D5" s="188" t="s">
        <v>215</v>
      </c>
      <c r="E5" s="189" t="s">
        <v>216</v>
      </c>
      <c r="F5" s="190" t="s">
        <v>217</v>
      </c>
    </row>
    <row r="6" spans="1:6" x14ac:dyDescent="0.2">
      <c r="A6" s="191" t="s">
        <v>218</v>
      </c>
      <c r="B6" s="192" t="s">
        <v>219</v>
      </c>
      <c r="C6" s="193">
        <v>0.05</v>
      </c>
      <c r="D6" s="194">
        <v>2.9700000000000001E-2</v>
      </c>
      <c r="E6" s="195">
        <v>5.0799999999999998E-2</v>
      </c>
      <c r="F6" s="196">
        <v>6.2700000000000006E-2</v>
      </c>
    </row>
    <row r="7" spans="1:6" x14ac:dyDescent="0.2">
      <c r="A7" s="197" t="s">
        <v>220</v>
      </c>
      <c r="B7" s="64" t="s">
        <v>221</v>
      </c>
      <c r="C7" s="198">
        <v>1.3299999999999999E-2</v>
      </c>
      <c r="D7" s="194">
        <f>0.3%+0.56%</f>
        <v>8.6E-3</v>
      </c>
      <c r="E7" s="195">
        <f>0.48%+0.85%</f>
        <v>1.3299999999999999E-2</v>
      </c>
      <c r="F7" s="196">
        <f>0.82%+0.89%</f>
        <v>1.7099999999999997E-2</v>
      </c>
    </row>
    <row r="8" spans="1:6" x14ac:dyDescent="0.2">
      <c r="A8" s="197" t="s">
        <v>222</v>
      </c>
      <c r="B8" s="64" t="s">
        <v>223</v>
      </c>
      <c r="C8" s="198">
        <v>0.13550000000000001</v>
      </c>
      <c r="D8" s="194">
        <v>7.7799999999999994E-2</v>
      </c>
      <c r="E8" s="195">
        <v>0.1085</v>
      </c>
      <c r="F8" s="196">
        <v>0.13550000000000001</v>
      </c>
    </row>
    <row r="9" spans="1:6" x14ac:dyDescent="0.2">
      <c r="A9" s="197" t="s">
        <v>224</v>
      </c>
      <c r="B9" s="64" t="s">
        <v>225</v>
      </c>
      <c r="C9" s="199">
        <v>1.78E-2</v>
      </c>
      <c r="D9" s="194" t="s">
        <v>226</v>
      </c>
      <c r="E9" s="200">
        <v>0.15</v>
      </c>
      <c r="F9" s="201"/>
    </row>
    <row r="10" spans="1:6" x14ac:dyDescent="0.2">
      <c r="A10" s="197" t="s">
        <v>227</v>
      </c>
      <c r="B10" s="304" t="s">
        <v>228</v>
      </c>
      <c r="C10" s="198">
        <v>0.03</v>
      </c>
      <c r="D10" s="202" t="s">
        <v>229</v>
      </c>
      <c r="E10" s="203">
        <v>21</v>
      </c>
      <c r="F10" s="204"/>
    </row>
    <row r="11" spans="1:6" ht="15" thickBot="1" x14ac:dyDescent="0.25">
      <c r="A11" s="205" t="s">
        <v>230</v>
      </c>
      <c r="B11" s="305"/>
      <c r="C11" s="206">
        <v>3.6499999999999998E-2</v>
      </c>
      <c r="D11" s="207"/>
      <c r="E11" s="101"/>
      <c r="F11" s="204"/>
    </row>
    <row r="12" spans="1:6" x14ac:dyDescent="0.2">
      <c r="A12" s="208" t="s">
        <v>231</v>
      </c>
      <c r="B12" s="209"/>
      <c r="C12" s="210"/>
      <c r="D12" s="207"/>
      <c r="E12" s="101"/>
      <c r="F12" s="204"/>
    </row>
    <row r="13" spans="1:6" ht="15" thickBot="1" x14ac:dyDescent="0.25">
      <c r="A13" s="211" t="s">
        <v>232</v>
      </c>
      <c r="B13" s="212"/>
      <c r="C13" s="213"/>
      <c r="D13" s="207"/>
      <c r="E13" s="101"/>
      <c r="F13" s="204"/>
    </row>
    <row r="14" spans="1:6" ht="15.75" thickBot="1" x14ac:dyDescent="0.25">
      <c r="A14" s="214" t="s">
        <v>233</v>
      </c>
      <c r="B14" s="215"/>
      <c r="C14" s="216">
        <f>ROUND((((1+C6+C7)*(1+C8)*(1+C9))/(1-(C10+C11))-1),4)</f>
        <v>0.31640000000000001</v>
      </c>
      <c r="D14" s="217">
        <v>0.21429999999999999</v>
      </c>
      <c r="E14" s="218">
        <v>0.2717</v>
      </c>
      <c r="F14" s="219">
        <v>0.3362</v>
      </c>
    </row>
  </sheetData>
  <mergeCells count="3">
    <mergeCell ref="A2:F2"/>
    <mergeCell ref="D4:F4"/>
    <mergeCell ref="B10:B11"/>
  </mergeCells>
  <pageMargins left="0.511811024" right="0.511811024" top="0.78740157499999996" bottom="0.78740157499999996" header="0.31496062000000002" footer="0.31496062000000002"/>
  <pageSetup orientation="portrait" r:id="rId1"/>
  <headerFooter>
    <oddHeader xml:space="preserve">&amp;C&amp;"Arial,Itálico"PREFEITURA MUNICIPAL DE JÓIA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31"/>
  <sheetViews>
    <sheetView view="pageLayout" zoomScaleNormal="100" workbookViewId="0">
      <selection activeCell="B7" sqref="B7"/>
    </sheetView>
  </sheetViews>
  <sheetFormatPr defaultColWidth="9.140625" defaultRowHeight="14.25" x14ac:dyDescent="0.2"/>
  <cols>
    <col min="1" max="1" width="8.5703125" style="103" customWidth="1"/>
    <col min="2" max="2" width="67.140625" style="103" customWidth="1"/>
    <col min="3" max="3" width="13.7109375" style="103" customWidth="1"/>
    <col min="4" max="4" width="10.28515625" style="103" customWidth="1"/>
    <col min="5" max="5" width="13.7109375" style="103" customWidth="1"/>
    <col min="6" max="16384" width="9.140625" style="103"/>
  </cols>
  <sheetData>
    <row r="2" spans="1:3" ht="15" thickBot="1" x14ac:dyDescent="0.25"/>
    <row r="3" spans="1:3" ht="15" x14ac:dyDescent="0.25">
      <c r="B3" s="306" t="s">
        <v>234</v>
      </c>
      <c r="C3" s="307"/>
    </row>
    <row r="4" spans="1:3" ht="15" x14ac:dyDescent="0.25">
      <c r="B4" s="221" t="s">
        <v>235</v>
      </c>
      <c r="C4" s="222"/>
    </row>
    <row r="5" spans="1:3" ht="15" x14ac:dyDescent="0.25">
      <c r="B5" s="223" t="s">
        <v>236</v>
      </c>
      <c r="C5" s="224">
        <v>1932</v>
      </c>
    </row>
    <row r="6" spans="1:3" ht="15" x14ac:dyDescent="0.25">
      <c r="B6" s="225" t="s">
        <v>237</v>
      </c>
      <c r="C6" s="224">
        <v>2197</v>
      </c>
    </row>
    <row r="7" spans="1:3" x14ac:dyDescent="0.2">
      <c r="B7" s="207" t="s">
        <v>238</v>
      </c>
      <c r="C7" s="226">
        <v>25</v>
      </c>
    </row>
    <row r="8" spans="1:3" x14ac:dyDescent="0.2">
      <c r="B8" s="207" t="s">
        <v>239</v>
      </c>
      <c r="C8" s="226">
        <v>1463</v>
      </c>
    </row>
    <row r="9" spans="1:3" x14ac:dyDescent="0.2">
      <c r="B9" s="207" t="s">
        <v>240</v>
      </c>
      <c r="C9" s="226">
        <v>321</v>
      </c>
    </row>
    <row r="10" spans="1:3" x14ac:dyDescent="0.2">
      <c r="B10" s="207" t="s">
        <v>241</v>
      </c>
      <c r="C10" s="226">
        <v>12</v>
      </c>
    </row>
    <row r="11" spans="1:3" x14ac:dyDescent="0.2">
      <c r="B11" s="207" t="s">
        <v>242</v>
      </c>
      <c r="C11" s="226">
        <v>339</v>
      </c>
    </row>
    <row r="12" spans="1:3" x14ac:dyDescent="0.2">
      <c r="B12" s="207" t="s">
        <v>243</v>
      </c>
      <c r="C12" s="226">
        <v>0</v>
      </c>
    </row>
    <row r="13" spans="1:3" x14ac:dyDescent="0.2">
      <c r="B13" s="207" t="s">
        <v>244</v>
      </c>
      <c r="C13" s="226">
        <v>22</v>
      </c>
    </row>
    <row r="14" spans="1:3" x14ac:dyDescent="0.2">
      <c r="B14" s="227" t="s">
        <v>245</v>
      </c>
      <c r="C14" s="228">
        <v>0</v>
      </c>
    </row>
    <row r="15" spans="1:3" x14ac:dyDescent="0.2">
      <c r="B15" s="229" t="s">
        <v>246</v>
      </c>
      <c r="C15" s="228">
        <v>0</v>
      </c>
    </row>
    <row r="16" spans="1:3" ht="15" x14ac:dyDescent="0.25">
      <c r="A16" s="103" t="s">
        <v>157</v>
      </c>
      <c r="B16" s="221" t="s">
        <v>247</v>
      </c>
      <c r="C16" s="222"/>
    </row>
    <row r="17" spans="2:3" x14ac:dyDescent="0.2">
      <c r="B17" s="230" t="s">
        <v>248</v>
      </c>
      <c r="C17" s="231">
        <v>5183</v>
      </c>
    </row>
    <row r="18" spans="2:3" x14ac:dyDescent="0.2">
      <c r="B18" s="207" t="s">
        <v>249</v>
      </c>
      <c r="C18" s="226">
        <v>4918</v>
      </c>
    </row>
    <row r="19" spans="2:3" x14ac:dyDescent="0.2">
      <c r="B19" s="207" t="s">
        <v>250</v>
      </c>
      <c r="C19" s="204">
        <f>C5-C6</f>
        <v>-265</v>
      </c>
    </row>
    <row r="20" spans="2:3" x14ac:dyDescent="0.2">
      <c r="B20" s="187"/>
      <c r="C20" s="232"/>
    </row>
    <row r="21" spans="2:3" s="220" customFormat="1" ht="15" x14ac:dyDescent="0.25">
      <c r="B21" s="223" t="s">
        <v>251</v>
      </c>
      <c r="C21" s="233">
        <f>MEDIAN(C17,C18)</f>
        <v>5050.5</v>
      </c>
    </row>
    <row r="22" spans="2:3" ht="15" x14ac:dyDescent="0.25">
      <c r="B22" s="225" t="s">
        <v>252</v>
      </c>
      <c r="C22" s="234">
        <f>C8/C21</f>
        <v>0.28967428967428965</v>
      </c>
    </row>
    <row r="23" spans="2:3" ht="15" x14ac:dyDescent="0.25">
      <c r="B23" s="225" t="s">
        <v>253</v>
      </c>
      <c r="C23" s="234">
        <f>MEDIAN(C5,C6)/C21</f>
        <v>0.40877140877140877</v>
      </c>
    </row>
    <row r="24" spans="2:3" s="220" customFormat="1" ht="15" x14ac:dyDescent="0.25">
      <c r="B24" s="225" t="s">
        <v>254</v>
      </c>
      <c r="C24" s="235">
        <f>12/C23</f>
        <v>29.356260595785905</v>
      </c>
    </row>
    <row r="25" spans="2:3" ht="15" x14ac:dyDescent="0.25">
      <c r="B25" s="225" t="s">
        <v>255</v>
      </c>
      <c r="C25" s="236">
        <v>360</v>
      </c>
    </row>
    <row r="26" spans="2:3" ht="15" x14ac:dyDescent="0.25">
      <c r="B26" s="225" t="s">
        <v>256</v>
      </c>
      <c r="C26" s="236">
        <v>10</v>
      </c>
    </row>
    <row r="27" spans="2:3" ht="15" x14ac:dyDescent="0.25">
      <c r="B27" s="223" t="s">
        <v>257</v>
      </c>
      <c r="C27" s="237">
        <v>30</v>
      </c>
    </row>
    <row r="28" spans="2:3" ht="15" x14ac:dyDescent="0.25">
      <c r="B28" s="223" t="s">
        <v>258</v>
      </c>
      <c r="C28" s="237">
        <v>30</v>
      </c>
    </row>
    <row r="29" spans="2:3" s="220" customFormat="1" ht="15" x14ac:dyDescent="0.25">
      <c r="B29" s="223" t="s">
        <v>259</v>
      </c>
      <c r="C29" s="237">
        <f>30+(3*TRUNC(1/C23))</f>
        <v>36</v>
      </c>
    </row>
    <row r="30" spans="2:3" s="220" customFormat="1" ht="15" x14ac:dyDescent="0.25">
      <c r="B30" s="225" t="s">
        <v>177</v>
      </c>
      <c r="C30" s="238">
        <v>0.08</v>
      </c>
    </row>
    <row r="31" spans="2:3" s="220" customFormat="1" ht="15.75" thickBot="1" x14ac:dyDescent="0.3">
      <c r="B31" s="239" t="s">
        <v>260</v>
      </c>
      <c r="C31" s="240">
        <v>0.4</v>
      </c>
    </row>
  </sheetData>
  <mergeCells count="1">
    <mergeCell ref="B3:C3"/>
  </mergeCells>
  <pageMargins left="0.511811024" right="0.511811024" top="0.78740157499999996" bottom="0.78740157499999996" header="0.31496062000000002" footer="0.31496062000000002"/>
  <pageSetup orientation="portrait" r:id="rId1"/>
  <headerFooter>
    <oddHeader xml:space="preserve">&amp;C&amp;"Arial,Itálico"PREFEITURA MUNICIPAL DE JÓIA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8"/>
  <sheetViews>
    <sheetView view="pageLayout" zoomScaleNormal="100" workbookViewId="0">
      <selection activeCell="C3" sqref="C3"/>
    </sheetView>
  </sheetViews>
  <sheetFormatPr defaultColWidth="9.140625" defaultRowHeight="19.5" customHeight="1" x14ac:dyDescent="0.2"/>
  <cols>
    <col min="1" max="1" width="24.5703125" style="241" customWidth="1"/>
    <col min="2" max="2" width="20.85546875" style="241" customWidth="1"/>
    <col min="3" max="16384" width="9.140625" style="241"/>
  </cols>
  <sheetData>
    <row r="1" spans="1:2" ht="13.5" thickBot="1" x14ac:dyDescent="0.25"/>
    <row r="2" spans="1:2" ht="16.5" thickBot="1" x14ac:dyDescent="0.25">
      <c r="A2" s="308" t="s">
        <v>261</v>
      </c>
      <c r="B2" s="309"/>
    </row>
    <row r="3" spans="1:2" s="244" customFormat="1" ht="15" x14ac:dyDescent="0.2">
      <c r="A3" s="242" t="s">
        <v>262</v>
      </c>
      <c r="B3" s="243" t="s">
        <v>263</v>
      </c>
    </row>
    <row r="4" spans="1:2" ht="14.25" x14ac:dyDescent="0.2">
      <c r="A4" s="245">
        <v>1</v>
      </c>
      <c r="B4" s="246">
        <v>33.629999999999995</v>
      </c>
    </row>
    <row r="5" spans="1:2" ht="14.25" x14ac:dyDescent="0.2">
      <c r="A5" s="245">
        <v>2</v>
      </c>
      <c r="B5" s="246">
        <v>43.13</v>
      </c>
    </row>
    <row r="6" spans="1:2" ht="14.25" x14ac:dyDescent="0.2">
      <c r="A6" s="245">
        <v>3</v>
      </c>
      <c r="B6" s="246">
        <v>48.68</v>
      </c>
    </row>
    <row r="7" spans="1:2" ht="14.25" x14ac:dyDescent="0.2">
      <c r="A7" s="245">
        <v>4</v>
      </c>
      <c r="B7" s="246">
        <v>52.62</v>
      </c>
    </row>
    <row r="8" spans="1:2" ht="14.25" x14ac:dyDescent="0.2">
      <c r="A8" s="245">
        <v>5</v>
      </c>
      <c r="B8" s="246">
        <v>55.679999999999993</v>
      </c>
    </row>
    <row r="9" spans="1:2" ht="14.25" x14ac:dyDescent="0.2">
      <c r="A9" s="245">
        <v>6</v>
      </c>
      <c r="B9" s="246">
        <v>58.18</v>
      </c>
    </row>
    <row r="10" spans="1:2" ht="14.25" x14ac:dyDescent="0.2">
      <c r="A10" s="245">
        <v>7</v>
      </c>
      <c r="B10" s="246">
        <v>60.29</v>
      </c>
    </row>
    <row r="11" spans="1:2" ht="14.25" x14ac:dyDescent="0.2">
      <c r="A11" s="245">
        <v>8</v>
      </c>
      <c r="B11" s="246">
        <v>62.12</v>
      </c>
    </row>
    <row r="12" spans="1:2" ht="14.25" x14ac:dyDescent="0.2">
      <c r="A12" s="245">
        <v>9</v>
      </c>
      <c r="B12" s="246">
        <v>63.73</v>
      </c>
    </row>
    <row r="13" spans="1:2" ht="14.25" x14ac:dyDescent="0.2">
      <c r="A13" s="245">
        <v>10</v>
      </c>
      <c r="B13" s="246">
        <v>65.180000000000007</v>
      </c>
    </row>
    <row r="14" spans="1:2" ht="14.25" x14ac:dyDescent="0.2">
      <c r="A14" s="245">
        <v>11</v>
      </c>
      <c r="B14" s="246">
        <v>66.47999999999999</v>
      </c>
    </row>
    <row r="15" spans="1:2" ht="14.25" x14ac:dyDescent="0.2">
      <c r="A15" s="245">
        <v>12</v>
      </c>
      <c r="B15" s="246">
        <v>67.67</v>
      </c>
    </row>
    <row r="16" spans="1:2" ht="14.25" x14ac:dyDescent="0.2">
      <c r="A16" s="245">
        <v>13</v>
      </c>
      <c r="B16" s="246">
        <v>68.77</v>
      </c>
    </row>
    <row r="17" spans="1:2" ht="14.25" x14ac:dyDescent="0.2">
      <c r="A17" s="245">
        <v>14</v>
      </c>
      <c r="B17" s="246">
        <v>69.789999999999992</v>
      </c>
    </row>
    <row r="18" spans="1:2" ht="15" thickBot="1" x14ac:dyDescent="0.25">
      <c r="A18" s="247">
        <v>15</v>
      </c>
      <c r="B18" s="248">
        <v>70.73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orientation="portrait" r:id="rId1"/>
  <headerFooter>
    <oddHeader>&amp;C&amp;"Arial,Itálico"PREFEITURA MUNICIPAL DE JÓIA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8"/>
  <sheetViews>
    <sheetView view="pageLayout" zoomScaleNormal="100" workbookViewId="0"/>
  </sheetViews>
  <sheetFormatPr defaultColWidth="9.140625" defaultRowHeight="12.75" x14ac:dyDescent="0.2"/>
  <cols>
    <col min="1" max="1" width="70.42578125" style="241" customWidth="1"/>
    <col min="2" max="3" width="9.140625" style="241"/>
    <col min="4" max="4" width="12.85546875" style="241" bestFit="1" customWidth="1"/>
    <col min="5" max="16384" width="9.140625" style="241"/>
  </cols>
  <sheetData>
    <row r="1" spans="1:1" ht="13.5" thickBot="1" x14ac:dyDescent="0.25"/>
    <row r="2" spans="1:1" ht="18" x14ac:dyDescent="0.25">
      <c r="A2" s="249" t="s">
        <v>264</v>
      </c>
    </row>
    <row r="3" spans="1:1" x14ac:dyDescent="0.2">
      <c r="A3" s="250"/>
    </row>
    <row r="4" spans="1:1" x14ac:dyDescent="0.2">
      <c r="A4" s="250" t="s">
        <v>265</v>
      </c>
    </row>
    <row r="5" spans="1:1" x14ac:dyDescent="0.2">
      <c r="A5" s="250"/>
    </row>
    <row r="6" spans="1:1" x14ac:dyDescent="0.2">
      <c r="A6" s="250"/>
    </row>
    <row r="7" spans="1:1" x14ac:dyDescent="0.2">
      <c r="A7" s="250"/>
    </row>
    <row r="8" spans="1:1" x14ac:dyDescent="0.2">
      <c r="A8" s="250"/>
    </row>
    <row r="9" spans="1:1" x14ac:dyDescent="0.2">
      <c r="A9" s="250"/>
    </row>
    <row r="10" spans="1:1" x14ac:dyDescent="0.2">
      <c r="A10" s="250"/>
    </row>
    <row r="11" spans="1:1" x14ac:dyDescent="0.2">
      <c r="A11" s="250"/>
    </row>
    <row r="12" spans="1:1" x14ac:dyDescent="0.2">
      <c r="A12" s="250"/>
    </row>
    <row r="13" spans="1:1" ht="19.5" x14ac:dyDescent="0.35">
      <c r="A13" s="251" t="s">
        <v>266</v>
      </c>
    </row>
    <row r="14" spans="1:1" ht="15" x14ac:dyDescent="0.2">
      <c r="A14" s="251" t="s">
        <v>267</v>
      </c>
    </row>
    <row r="15" spans="1:1" ht="15" x14ac:dyDescent="0.2">
      <c r="A15" s="251" t="s">
        <v>268</v>
      </c>
    </row>
    <row r="16" spans="1:1" ht="19.5" x14ac:dyDescent="0.35">
      <c r="A16" s="251" t="s">
        <v>269</v>
      </c>
    </row>
    <row r="17" spans="1:1" ht="19.5" x14ac:dyDescent="0.35">
      <c r="A17" s="251" t="s">
        <v>270</v>
      </c>
    </row>
    <row r="18" spans="1:1" ht="15.75" thickBot="1" x14ac:dyDescent="0.25">
      <c r="A18" s="252" t="s">
        <v>271</v>
      </c>
    </row>
  </sheetData>
  <pageMargins left="0.511811024" right="0.511811024" top="0.78740157499999996" bottom="0.78740157499999996" header="0.31496062000000002" footer="0.31496062000000002"/>
  <pageSetup orientation="portrait" r:id="rId1"/>
  <headerFooter>
    <oddHeader xml:space="preserve">&amp;C&amp;"Arial,Itálico"PREFEITURA MUNICIPAL DE JÓIA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C17"/>
  <sheetViews>
    <sheetView view="pageLayout" zoomScaleNormal="100" workbookViewId="0">
      <selection activeCell="A23" sqref="A23"/>
    </sheetView>
  </sheetViews>
  <sheetFormatPr defaultColWidth="9.140625" defaultRowHeight="12.75" x14ac:dyDescent="0.2"/>
  <cols>
    <col min="1" max="1" width="58.28515625" style="241" customWidth="1"/>
    <col min="2" max="2" width="11.140625" style="241" bestFit="1" customWidth="1"/>
    <col min="3" max="3" width="11.28515625" style="241" bestFit="1" customWidth="1"/>
    <col min="4" max="16384" width="9.140625" style="241"/>
  </cols>
  <sheetData>
    <row r="1" spans="1:3" ht="13.5" thickBot="1" x14ac:dyDescent="0.25"/>
    <row r="2" spans="1:3" ht="18" x14ac:dyDescent="0.25">
      <c r="A2" s="310" t="s">
        <v>272</v>
      </c>
      <c r="B2" s="311"/>
      <c r="C2" s="312"/>
    </row>
    <row r="3" spans="1:3" ht="18" x14ac:dyDescent="0.25">
      <c r="A3" s="253"/>
      <c r="B3" s="254"/>
      <c r="C3" s="255"/>
    </row>
    <row r="4" spans="1:3" s="244" customFormat="1" ht="15" x14ac:dyDescent="0.25">
      <c r="A4" s="256" t="s">
        <v>273</v>
      </c>
      <c r="B4" s="257" t="s">
        <v>274</v>
      </c>
      <c r="C4" s="258" t="s">
        <v>161</v>
      </c>
    </row>
    <row r="5" spans="1:3" ht="14.25" x14ac:dyDescent="0.2">
      <c r="A5" s="207" t="s">
        <v>275</v>
      </c>
      <c r="B5" s="100" t="s">
        <v>276</v>
      </c>
      <c r="C5" s="226">
        <v>7184</v>
      </c>
    </row>
    <row r="6" spans="1:3" ht="14.25" x14ac:dyDescent="0.2">
      <c r="A6" s="207" t="s">
        <v>277</v>
      </c>
      <c r="B6" s="100" t="s">
        <v>278</v>
      </c>
      <c r="C6" s="259">
        <f>(C8)*(1000)/(C5)/(30)</f>
        <v>0.34335560504825541</v>
      </c>
    </row>
    <row r="7" spans="1:3" ht="14.25" x14ac:dyDescent="0.2">
      <c r="A7" s="207" t="s">
        <v>279</v>
      </c>
      <c r="B7" s="100" t="s">
        <v>280</v>
      </c>
      <c r="C7" s="260">
        <f>C8/30</f>
        <v>2.4666666666666668</v>
      </c>
    </row>
    <row r="8" spans="1:3" ht="14.25" x14ac:dyDescent="0.2">
      <c r="A8" s="207" t="s">
        <v>281</v>
      </c>
      <c r="B8" s="100" t="s">
        <v>282</v>
      </c>
      <c r="C8" s="261">
        <v>74</v>
      </c>
    </row>
    <row r="9" spans="1:3" ht="14.25" x14ac:dyDescent="0.2">
      <c r="A9" s="207" t="s">
        <v>283</v>
      </c>
      <c r="B9" s="100" t="s">
        <v>40</v>
      </c>
      <c r="C9" s="262">
        <v>5</v>
      </c>
    </row>
    <row r="10" spans="1:3" ht="14.25" x14ac:dyDescent="0.2">
      <c r="A10" s="207" t="s">
        <v>284</v>
      </c>
      <c r="B10" s="100" t="s">
        <v>280</v>
      </c>
      <c r="C10" s="260">
        <f>IFERROR(C7*7/C9,0)</f>
        <v>3.4533333333333331</v>
      </c>
    </row>
    <row r="11" spans="1:3" ht="14.25" x14ac:dyDescent="0.2">
      <c r="A11" s="207" t="s">
        <v>285</v>
      </c>
      <c r="B11" s="100" t="s">
        <v>286</v>
      </c>
      <c r="C11" s="204">
        <v>500</v>
      </c>
    </row>
    <row r="12" spans="1:3" ht="14.25" x14ac:dyDescent="0.2">
      <c r="A12" s="207" t="s">
        <v>287</v>
      </c>
      <c r="B12" s="100"/>
      <c r="C12" s="226">
        <v>1</v>
      </c>
    </row>
    <row r="13" spans="1:3" ht="14.25" x14ac:dyDescent="0.2">
      <c r="A13" s="207" t="s">
        <v>288</v>
      </c>
      <c r="B13" s="100" t="s">
        <v>289</v>
      </c>
      <c r="C13" s="226">
        <v>12</v>
      </c>
    </row>
    <row r="14" spans="1:3" ht="14.25" x14ac:dyDescent="0.2">
      <c r="A14" s="207" t="s">
        <v>290</v>
      </c>
      <c r="B14" s="100" t="s">
        <v>282</v>
      </c>
      <c r="C14" s="204">
        <f>IF(AND(C13&gt;=15,C12=1),5.8,C13/2)</f>
        <v>6</v>
      </c>
    </row>
    <row r="15" spans="1:3" ht="14.25" x14ac:dyDescent="0.2">
      <c r="A15" s="207" t="s">
        <v>291</v>
      </c>
      <c r="B15" s="100"/>
      <c r="C15" s="260">
        <f>IFERROR(C10/C14,0)</f>
        <v>0.57555555555555549</v>
      </c>
    </row>
    <row r="16" spans="1:3" ht="14.25" x14ac:dyDescent="0.2">
      <c r="A16" s="207" t="s">
        <v>292</v>
      </c>
      <c r="B16" s="100"/>
      <c r="C16" s="263">
        <v>1</v>
      </c>
    </row>
    <row r="17" spans="1:3" ht="15" thickBot="1" x14ac:dyDescent="0.25">
      <c r="A17" s="264" t="s">
        <v>293</v>
      </c>
      <c r="B17" s="265"/>
      <c r="C17" s="266">
        <f>IFERROR(C15/C16,0)</f>
        <v>0.57555555555555549</v>
      </c>
    </row>
  </sheetData>
  <mergeCells count="1">
    <mergeCell ref="A2:C2"/>
  </mergeCells>
  <conditionalFormatting sqref="C14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Header>&amp;C&amp;"Arial,Itálico"PREFEITURA MUNICIPAL DE JÓIA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Planilha de Custos</vt:lpstr>
      <vt:lpstr>Encargos Sociais</vt:lpstr>
      <vt:lpstr>BDI</vt:lpstr>
      <vt:lpstr>CAGED</vt:lpstr>
      <vt:lpstr>DEPRECIACAO</vt:lpstr>
      <vt:lpstr>REMUNERACAO CAPITAL</vt:lpstr>
      <vt:lpstr>DIMENSIONAMENTO</vt:lpstr>
      <vt:lpstr>'Planilha de Custos'!Area_de_impressao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</dc:creator>
  <cp:lastModifiedBy>Usuario</cp:lastModifiedBy>
  <cp:lastPrinted>2025-07-10T12:32:13Z</cp:lastPrinted>
  <dcterms:created xsi:type="dcterms:W3CDTF">2024-11-19T17:42:24Z</dcterms:created>
  <dcterms:modified xsi:type="dcterms:W3CDTF">2025-07-21T12:06:05Z</dcterms:modified>
</cp:coreProperties>
</file>